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queline Day\Desktop\GoSkills\Excel Example Files\Part 2 - Application\"/>
    </mc:Choice>
  </mc:AlternateContent>
  <bookViews>
    <workbookView xWindow="0" yWindow="0" windowWidth="19200" windowHeight="7310"/>
  </bookViews>
  <sheets>
    <sheet name="Cover" sheetId="1" r:id="rId1"/>
    <sheet name="Navigator" sheetId="3" r:id="rId2"/>
    <sheet name="Style Guide" sheetId="4" r:id="rId3"/>
    <sheet name="Model Parameters" sheetId="2" r:id="rId4"/>
    <sheet name="Assumptions" sheetId="14" r:id="rId5"/>
    <sheet name="Calculations" sheetId="15" r:id="rId6"/>
    <sheet name="Opening Balance Sheet" sheetId="13" r:id="rId7"/>
    <sheet name="Income Statement" sheetId="10" r:id="rId8"/>
    <sheet name="Balance Sheet" sheetId="11" r:id="rId9"/>
    <sheet name="Cash Flow Statement" sheetId="12" r:id="rId10"/>
    <sheet name="Lookup" sheetId="16" r:id="rId11"/>
    <sheet name="Timing" sheetId="6" r:id="rId12"/>
    <sheet name="Error Checks" sheetId="5" r:id="rId13"/>
    <sheet name="Change Log" sheetId="9" r:id="rId14"/>
  </sheets>
  <definedNames>
    <definedName name="Balance_Sheet">'Model Parameters'!$G$55</definedName>
    <definedName name="Boolean">'Model Parameters'!$G$42</definedName>
    <definedName name="Cash_Flow_Statement">'Model Parameters'!$G$56</definedName>
    <definedName name="Client_Name">'Model Parameters'!$G$12</definedName>
    <definedName name="Currency">'Model Parameters'!$G$40</definedName>
    <definedName name="Days_in_Year">'Model Parameters'!$G$19</definedName>
    <definedName name="Days_in_Yr">'Model Parameters'!$G$19</definedName>
    <definedName name="Dollars">'Model Parameters'!$G$41</definedName>
    <definedName name="Example_Reporting_Month">Timing!$H$19</definedName>
    <definedName name="HL_1">Cover!$A$3</definedName>
    <definedName name="HL_10">'Cash Flow Statement'!$A$3</definedName>
    <definedName name="HL_11">Lookup!$A$3</definedName>
    <definedName name="HL_12">Timing!$A$3</definedName>
    <definedName name="HL_13" localSheetId="10">Lookup!$A$3</definedName>
    <definedName name="HL_13">'Error Checks'!$A$3</definedName>
    <definedName name="HL_14">'Change Log'!$A$3</definedName>
    <definedName name="HL_3">'Style Guide'!$A$3</definedName>
    <definedName name="HL_4">'Model Parameters'!$A$3</definedName>
    <definedName name="HL_5" localSheetId="8">'Balance Sheet'!$A$3</definedName>
    <definedName name="HL_5" localSheetId="9">'Cash Flow Statement'!$A$3</definedName>
    <definedName name="HL_5" localSheetId="7">'Income Statement'!$A$3</definedName>
    <definedName name="HL_5" localSheetId="6">'Opening Balance Sheet'!$A$3</definedName>
    <definedName name="HL_5">Assumptions!$A$3</definedName>
    <definedName name="HL_6">Calculations!$A$3</definedName>
    <definedName name="HL_7">'Opening Balance Sheet'!$A$3</definedName>
    <definedName name="HL_8">'Income Statement'!$A$3</definedName>
    <definedName name="HL_9">'Balance Sheet'!$A$3</definedName>
    <definedName name="HL_BS_Balance">'Balance Sheet'!$I$57</definedName>
    <definedName name="HL_BS_Errors">'Balance Sheet'!$I$56</definedName>
    <definedName name="HL_BS_Insolvency">'Balance Sheet'!$I$58</definedName>
    <definedName name="HL_Navigator">Navigator!$A$1</definedName>
    <definedName name="HL_Op_BS_Balance">'Opening Balance Sheet'!$I$57</definedName>
    <definedName name="HL_Op_BS_Errors">'Opening Balance Sheet'!$I$56</definedName>
    <definedName name="HL_Op_BS_Insolvency">'Opening Balance Sheet'!$I$58</definedName>
    <definedName name="Income_Statement">'Model Parameters'!$G$54</definedName>
    <definedName name="LU_Future_Years">Lookup!$D$11:$D$15</definedName>
    <definedName name="Macro_NavHeading">Navigator!$C$7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ultiplier">'Model Parameters'!$G$47</definedName>
    <definedName name="No._of_days">'Model Parameters'!$G$44</definedName>
    <definedName name="No_of_Days">'Model Parameters'!$G$44</definedName>
    <definedName name="No_of_Years">'Model Parameters'!$G$46</definedName>
    <definedName name="Overall_Error_Check">'Error Checks'!$I$25</definedName>
    <definedName name="Percentage">'Model Parameters'!$G$43</definedName>
    <definedName name="Periodicity">Timing!$H$17</definedName>
    <definedName name="Price_Weight">'Model Parameters'!$G$49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Unit">'Model Parameters'!$G$39</definedName>
    <definedName name="Very_Large_Number">'Model Parameters'!$G$28</definedName>
    <definedName name="Very_Small_Number">'Model Parameters'!$G$29</definedName>
    <definedName name="Weight">'Model Parameters'!$G$48</definedName>
    <definedName name="Year">'Model Parameters'!$G$45</definedName>
  </definedNames>
  <calcPr calcId="152511" calcMode="autoNoTable"/>
</workbook>
</file>

<file path=xl/calcChain.xml><?xml version="1.0" encoding="utf-8"?>
<calcChain xmlns="http://schemas.openxmlformats.org/spreadsheetml/2006/main">
  <c r="I139" i="15" l="1"/>
  <c r="I337" i="15" l="1"/>
  <c r="I327" i="15"/>
  <c r="I288" i="15"/>
  <c r="I285" i="15"/>
  <c r="I283" i="15"/>
  <c r="K273" i="15"/>
  <c r="L273" i="15"/>
  <c r="M273" i="15"/>
  <c r="N273" i="15"/>
  <c r="J273" i="15"/>
  <c r="K263" i="15"/>
  <c r="L263" i="15"/>
  <c r="M263" i="15"/>
  <c r="N263" i="15"/>
  <c r="K264" i="15"/>
  <c r="L264" i="15"/>
  <c r="M264" i="15"/>
  <c r="N264" i="15"/>
  <c r="J264" i="15"/>
  <c r="J263" i="15"/>
  <c r="G362" i="15"/>
  <c r="G361" i="15"/>
  <c r="G360" i="15"/>
  <c r="G359" i="15"/>
  <c r="G358" i="15"/>
  <c r="G357" i="15"/>
  <c r="G353" i="15"/>
  <c r="G352" i="15"/>
  <c r="G351" i="15"/>
  <c r="G349" i="15"/>
  <c r="G347" i="15"/>
  <c r="G345" i="15"/>
  <c r="G343" i="15"/>
  <c r="G342" i="15"/>
  <c r="G341" i="15"/>
  <c r="G340" i="15"/>
  <c r="G338" i="15"/>
  <c r="G337" i="15"/>
  <c r="G336" i="15"/>
  <c r="G332" i="15"/>
  <c r="G331" i="15"/>
  <c r="G330" i="15"/>
  <c r="G329" i="15"/>
  <c r="G327" i="15"/>
  <c r="G325" i="15"/>
  <c r="G324" i="15"/>
  <c r="G323" i="15"/>
  <c r="G322" i="15"/>
  <c r="G321" i="15"/>
  <c r="G320" i="15"/>
  <c r="G319" i="15"/>
  <c r="G315" i="15"/>
  <c r="G314" i="15"/>
  <c r="G313" i="15"/>
  <c r="G311" i="15"/>
  <c r="G309" i="15"/>
  <c r="G307" i="15"/>
  <c r="G306" i="15"/>
  <c r="G305" i="15"/>
  <c r="G301" i="15"/>
  <c r="G297" i="15"/>
  <c r="G296" i="15"/>
  <c r="G295" i="15"/>
  <c r="G294" i="15"/>
  <c r="G293" i="15"/>
  <c r="G292" i="15"/>
  <c r="G291" i="15"/>
  <c r="G289" i="15"/>
  <c r="G286" i="15"/>
  <c r="G283" i="15"/>
  <c r="G281" i="15"/>
  <c r="G280" i="15"/>
  <c r="G275" i="15"/>
  <c r="G273" i="15"/>
  <c r="G271" i="15"/>
  <c r="G270" i="15"/>
  <c r="G269" i="15"/>
  <c r="G268" i="15"/>
  <c r="G264" i="15"/>
  <c r="G263" i="15"/>
  <c r="G129" i="14"/>
  <c r="I125" i="14"/>
  <c r="I315" i="15" s="1"/>
  <c r="I120" i="14"/>
  <c r="I336" i="15" s="1"/>
  <c r="I115" i="14"/>
  <c r="I289" i="15" s="1"/>
  <c r="I112" i="14"/>
  <c r="I286" i="15" s="1"/>
  <c r="G125" i="14"/>
  <c r="G120" i="14"/>
  <c r="G115" i="14"/>
  <c r="G114" i="14"/>
  <c r="G112" i="14"/>
  <c r="G111" i="14"/>
  <c r="G109" i="14"/>
  <c r="G105" i="14"/>
  <c r="G104" i="14"/>
  <c r="O287" i="15"/>
  <c r="I330" i="15" l="1"/>
  <c r="J253" i="15"/>
  <c r="J255" i="15" s="1"/>
  <c r="K247" i="15"/>
  <c r="L247" i="15"/>
  <c r="M247" i="15"/>
  <c r="N247" i="15"/>
  <c r="J247" i="15"/>
  <c r="G100" i="14"/>
  <c r="I243" i="15"/>
  <c r="K241" i="15"/>
  <c r="L241" i="15"/>
  <c r="M241" i="15"/>
  <c r="N241" i="15"/>
  <c r="J241" i="15"/>
  <c r="J25" i="12" l="1"/>
  <c r="I236" i="15"/>
  <c r="J233" i="15" s="1"/>
  <c r="J235" i="15" s="1"/>
  <c r="K226" i="15"/>
  <c r="L226" i="15"/>
  <c r="M226" i="15"/>
  <c r="N226" i="15"/>
  <c r="J226" i="15"/>
  <c r="I217" i="15"/>
  <c r="J214" i="15" s="1"/>
  <c r="J223" i="15" s="1"/>
  <c r="K221" i="15"/>
  <c r="L221" i="15"/>
  <c r="M221" i="15"/>
  <c r="N221" i="15"/>
  <c r="J221" i="15"/>
  <c r="K209" i="15"/>
  <c r="K215" i="15" s="1"/>
  <c r="K30" i="12" s="1"/>
  <c r="L209" i="15"/>
  <c r="L215" i="15" s="1"/>
  <c r="L30" i="12" s="1"/>
  <c r="M209" i="15"/>
  <c r="M215" i="15" s="1"/>
  <c r="M30" i="12" s="1"/>
  <c r="N209" i="15"/>
  <c r="N215" i="15" s="1"/>
  <c r="N30" i="12" s="1"/>
  <c r="K210" i="15"/>
  <c r="K216" i="15" s="1"/>
  <c r="K31" i="12" s="1"/>
  <c r="L210" i="15"/>
  <c r="L216" i="15" s="1"/>
  <c r="L31" i="12" s="1"/>
  <c r="M210" i="15"/>
  <c r="M216" i="15" s="1"/>
  <c r="M31" i="12" s="1"/>
  <c r="N210" i="15"/>
  <c r="N216" i="15" s="1"/>
  <c r="N31" i="12" s="1"/>
  <c r="J210" i="15"/>
  <c r="J216" i="15" s="1"/>
  <c r="J31" i="12" s="1"/>
  <c r="J209" i="15"/>
  <c r="J215" i="15" s="1"/>
  <c r="J30" i="12" s="1"/>
  <c r="H223" i="15"/>
  <c r="H122" i="15"/>
  <c r="E221" i="15"/>
  <c r="D219" i="15"/>
  <c r="E210" i="15"/>
  <c r="E209" i="15"/>
  <c r="D207" i="15"/>
  <c r="C205" i="15"/>
  <c r="C204" i="15"/>
  <c r="C203" i="15"/>
  <c r="G256" i="15"/>
  <c r="G255" i="15"/>
  <c r="G254" i="15"/>
  <c r="G253" i="15"/>
  <c r="G249" i="15"/>
  <c r="G247" i="15"/>
  <c r="G246" i="15"/>
  <c r="G245" i="15"/>
  <c r="G243" i="15"/>
  <c r="G241" i="15"/>
  <c r="G236" i="15"/>
  <c r="G235" i="15"/>
  <c r="G234" i="15"/>
  <c r="G233" i="15"/>
  <c r="G229" i="15"/>
  <c r="G227" i="15"/>
  <c r="G226" i="15"/>
  <c r="G225" i="15"/>
  <c r="G223" i="15"/>
  <c r="G221" i="15"/>
  <c r="G217" i="15"/>
  <c r="G216" i="15"/>
  <c r="G215" i="15"/>
  <c r="G214" i="15"/>
  <c r="G210" i="15"/>
  <c r="G209" i="15"/>
  <c r="G93" i="14"/>
  <c r="G91" i="14"/>
  <c r="G87" i="14"/>
  <c r="G83" i="14"/>
  <c r="G82" i="14"/>
  <c r="J20" i="12" l="1"/>
  <c r="J217" i="15"/>
  <c r="O199" i="15"/>
  <c r="O198" i="15"/>
  <c r="I200" i="15"/>
  <c r="J197" i="15" s="1"/>
  <c r="I175" i="15"/>
  <c r="I73" i="14"/>
  <c r="I184" i="15" s="1"/>
  <c r="I70" i="14"/>
  <c r="I181" i="15" s="1"/>
  <c r="I183" i="15"/>
  <c r="I180" i="15"/>
  <c r="K176" i="15"/>
  <c r="L176" i="15"/>
  <c r="L198" i="15" s="1"/>
  <c r="L26" i="12" s="1"/>
  <c r="M176" i="15"/>
  <c r="M198" i="15" s="1"/>
  <c r="M26" i="12" s="1"/>
  <c r="N176" i="15"/>
  <c r="J176" i="15"/>
  <c r="E181" i="15"/>
  <c r="E183" i="15"/>
  <c r="E184" i="15"/>
  <c r="E180" i="15"/>
  <c r="E176" i="15"/>
  <c r="D178" i="15"/>
  <c r="D173" i="15"/>
  <c r="C171" i="15"/>
  <c r="G200" i="15"/>
  <c r="G199" i="15"/>
  <c r="G198" i="15"/>
  <c r="G197" i="15"/>
  <c r="G193" i="15"/>
  <c r="G192" i="15"/>
  <c r="G191" i="15"/>
  <c r="G187" i="15"/>
  <c r="G186" i="15"/>
  <c r="G184" i="15"/>
  <c r="G183" i="15"/>
  <c r="G181" i="15"/>
  <c r="G180" i="15"/>
  <c r="G176" i="15"/>
  <c r="G175" i="15"/>
  <c r="G73" i="14"/>
  <c r="G72" i="14"/>
  <c r="G70" i="14"/>
  <c r="G69" i="14"/>
  <c r="G65" i="14"/>
  <c r="K187" i="15" l="1"/>
  <c r="J187" i="15"/>
  <c r="K198" i="15"/>
  <c r="K26" i="12" s="1"/>
  <c r="N187" i="15"/>
  <c r="I186" i="15"/>
  <c r="M187" i="15"/>
  <c r="K214" i="15"/>
  <c r="J36" i="11"/>
  <c r="L187" i="15"/>
  <c r="J198" i="15"/>
  <c r="J26" i="12" s="1"/>
  <c r="N198" i="15"/>
  <c r="N26" i="12" s="1"/>
  <c r="J165" i="15"/>
  <c r="G168" i="15"/>
  <c r="G167" i="15"/>
  <c r="G166" i="15"/>
  <c r="G165" i="15"/>
  <c r="G161" i="15"/>
  <c r="G159" i="15"/>
  <c r="G157" i="15"/>
  <c r="L151" i="15"/>
  <c r="M151" i="15"/>
  <c r="N151" i="15"/>
  <c r="K151" i="15"/>
  <c r="K150" i="15"/>
  <c r="L150" i="15"/>
  <c r="M150" i="15"/>
  <c r="N150" i="15"/>
  <c r="J150" i="15"/>
  <c r="I147" i="15"/>
  <c r="E151" i="15"/>
  <c r="E150" i="15"/>
  <c r="E147" i="15"/>
  <c r="D145" i="15"/>
  <c r="E153" i="15" s="1"/>
  <c r="C143" i="15"/>
  <c r="G153" i="15"/>
  <c r="G151" i="15"/>
  <c r="G150" i="15"/>
  <c r="G148" i="15"/>
  <c r="G147" i="15"/>
  <c r="B6" i="16"/>
  <c r="A1" i="16"/>
  <c r="C6" i="16" s="1"/>
  <c r="G58" i="14"/>
  <c r="G57" i="14"/>
  <c r="G56" i="14"/>
  <c r="K217" i="15" l="1"/>
  <c r="K223" i="15"/>
  <c r="E166" i="15"/>
  <c r="O138" i="15"/>
  <c r="O137" i="15"/>
  <c r="O135" i="15"/>
  <c r="O139" i="15"/>
  <c r="H117" i="15"/>
  <c r="J135" i="15"/>
  <c r="H112" i="15"/>
  <c r="J127" i="15"/>
  <c r="H108" i="15"/>
  <c r="H107" i="15"/>
  <c r="H103" i="15"/>
  <c r="H99" i="15"/>
  <c r="H98" i="15"/>
  <c r="O91" i="15"/>
  <c r="O90" i="15"/>
  <c r="O88" i="15"/>
  <c r="J88" i="15"/>
  <c r="J100" i="15"/>
  <c r="J107" i="15" s="1"/>
  <c r="K100" i="15"/>
  <c r="K107" i="15" s="1"/>
  <c r="L100" i="15"/>
  <c r="L107" i="15" s="1"/>
  <c r="M100" i="15"/>
  <c r="M107" i="15" s="1"/>
  <c r="N100" i="15"/>
  <c r="N107" i="15" s="1"/>
  <c r="J101" i="15"/>
  <c r="J112" i="15" s="1"/>
  <c r="K101" i="15"/>
  <c r="K112" i="15" s="1"/>
  <c r="L101" i="15"/>
  <c r="L112" i="15" s="1"/>
  <c r="M101" i="15"/>
  <c r="M112" i="15" s="1"/>
  <c r="N101" i="15"/>
  <c r="N112" i="15" s="1"/>
  <c r="K80" i="15"/>
  <c r="L80" i="15"/>
  <c r="M80" i="15"/>
  <c r="N80" i="15"/>
  <c r="J80" i="15"/>
  <c r="K71" i="15"/>
  <c r="K76" i="15" s="1"/>
  <c r="L71" i="15"/>
  <c r="L98" i="15" s="1"/>
  <c r="L128" i="15" s="1"/>
  <c r="M71" i="15"/>
  <c r="M98" i="15" s="1"/>
  <c r="M128" i="15" s="1"/>
  <c r="N71" i="15"/>
  <c r="N98" i="15" s="1"/>
  <c r="N128" i="15" s="1"/>
  <c r="K72" i="15"/>
  <c r="K77" i="15" s="1"/>
  <c r="L72" i="15"/>
  <c r="L77" i="15" s="1"/>
  <c r="M72" i="15"/>
  <c r="M77" i="15" s="1"/>
  <c r="N72" i="15"/>
  <c r="N77" i="15" s="1"/>
  <c r="J72" i="15"/>
  <c r="J77" i="15" s="1"/>
  <c r="J71" i="15"/>
  <c r="J98" i="15" s="1"/>
  <c r="J128" i="15" s="1"/>
  <c r="E72" i="15"/>
  <c r="E71" i="15"/>
  <c r="G139" i="15"/>
  <c r="G138" i="15"/>
  <c r="G137" i="15"/>
  <c r="G136" i="15"/>
  <c r="G135" i="15"/>
  <c r="G131" i="15"/>
  <c r="G130" i="15"/>
  <c r="G129" i="15"/>
  <c r="G128" i="15"/>
  <c r="G127" i="15"/>
  <c r="G123" i="15"/>
  <c r="G122" i="15"/>
  <c r="G121" i="15"/>
  <c r="G120" i="15"/>
  <c r="G118" i="15"/>
  <c r="G117" i="15"/>
  <c r="G116" i="15"/>
  <c r="G115" i="15"/>
  <c r="G113" i="15"/>
  <c r="G112" i="15"/>
  <c r="G111" i="15"/>
  <c r="G109" i="15"/>
  <c r="G108" i="15"/>
  <c r="G107" i="15"/>
  <c r="G103" i="15"/>
  <c r="G101" i="15"/>
  <c r="G100" i="15"/>
  <c r="G99" i="15"/>
  <c r="G98" i="15"/>
  <c r="G91" i="15"/>
  <c r="G90" i="15"/>
  <c r="G89" i="15"/>
  <c r="G88" i="15"/>
  <c r="G84" i="15"/>
  <c r="G82" i="15"/>
  <c r="G80" i="15"/>
  <c r="G78" i="15"/>
  <c r="G77" i="15"/>
  <c r="G76" i="15"/>
  <c r="G48" i="14"/>
  <c r="G44" i="14"/>
  <c r="G43" i="14"/>
  <c r="G42" i="14"/>
  <c r="G72" i="15" s="1"/>
  <c r="G41" i="14"/>
  <c r="G71" i="15" s="1"/>
  <c r="L214" i="15" l="1"/>
  <c r="K36" i="11"/>
  <c r="K98" i="15"/>
  <c r="K128" i="15" s="1"/>
  <c r="J76" i="15"/>
  <c r="J78" i="15" s="1"/>
  <c r="N76" i="15"/>
  <c r="N78" i="15" s="1"/>
  <c r="J115" i="15"/>
  <c r="K78" i="15"/>
  <c r="K99" i="15" s="1"/>
  <c r="K136" i="15" s="1"/>
  <c r="M76" i="15"/>
  <c r="M78" i="15" s="1"/>
  <c r="M89" i="15" s="1"/>
  <c r="L76" i="15"/>
  <c r="L78" i="15" s="1"/>
  <c r="L89" i="15" s="1"/>
  <c r="L217" i="15" l="1"/>
  <c r="L223" i="15"/>
  <c r="N89" i="15"/>
  <c r="N99" i="15"/>
  <c r="N136" i="15" s="1"/>
  <c r="K89" i="15"/>
  <c r="L99" i="15"/>
  <c r="L136" i="15" s="1"/>
  <c r="J89" i="15"/>
  <c r="J99" i="15"/>
  <c r="J136" i="15" s="1"/>
  <c r="J116" i="15" s="1"/>
  <c r="M99" i="15"/>
  <c r="M136" i="15" s="1"/>
  <c r="M214" i="15" l="1"/>
  <c r="L36" i="11"/>
  <c r="I64" i="15"/>
  <c r="J61" i="15" s="1"/>
  <c r="K53" i="15"/>
  <c r="L53" i="15"/>
  <c r="M53" i="15"/>
  <c r="N53" i="15"/>
  <c r="J53" i="15"/>
  <c r="K46" i="15"/>
  <c r="L46" i="15"/>
  <c r="M46" i="15"/>
  <c r="N46" i="15"/>
  <c r="J46" i="15"/>
  <c r="H45" i="15"/>
  <c r="E53" i="15"/>
  <c r="E157" i="15" s="1"/>
  <c r="G64" i="15"/>
  <c r="G63" i="15"/>
  <c r="G62" i="15"/>
  <c r="G61" i="15"/>
  <c r="G57" i="15"/>
  <c r="G55" i="15"/>
  <c r="G53" i="15"/>
  <c r="G49" i="15"/>
  <c r="G47" i="15"/>
  <c r="G46" i="15"/>
  <c r="G45" i="15"/>
  <c r="G34" i="14"/>
  <c r="G30" i="14"/>
  <c r="I38" i="15"/>
  <c r="J35" i="15" s="1"/>
  <c r="G38" i="15"/>
  <c r="G37" i="15"/>
  <c r="G36" i="15"/>
  <c r="G35" i="15"/>
  <c r="K27" i="15"/>
  <c r="L27" i="15"/>
  <c r="M27" i="15"/>
  <c r="N27" i="15"/>
  <c r="J27" i="15"/>
  <c r="G31" i="15"/>
  <c r="G29" i="15"/>
  <c r="G27" i="15"/>
  <c r="M217" i="15" l="1"/>
  <c r="M223" i="15"/>
  <c r="G23" i="15"/>
  <c r="N19" i="15"/>
  <c r="M19" i="15"/>
  <c r="L19" i="15"/>
  <c r="K19" i="15"/>
  <c r="J18" i="15"/>
  <c r="N17" i="15"/>
  <c r="N103" i="15" s="1"/>
  <c r="N108" i="15" s="1"/>
  <c r="N109" i="15" s="1"/>
  <c r="M17" i="15"/>
  <c r="M103" i="15" s="1"/>
  <c r="M108" i="15" s="1"/>
  <c r="M109" i="15" s="1"/>
  <c r="L17" i="15"/>
  <c r="L103" i="15" s="1"/>
  <c r="L108" i="15" s="1"/>
  <c r="L109" i="15" s="1"/>
  <c r="K17" i="15"/>
  <c r="K103" i="15" s="1"/>
  <c r="K108" i="15" s="1"/>
  <c r="K109" i="15" s="1"/>
  <c r="J17" i="15"/>
  <c r="J103" i="15" s="1"/>
  <c r="J108" i="15" s="1"/>
  <c r="J109" i="15" s="1"/>
  <c r="E19" i="15"/>
  <c r="E18" i="15"/>
  <c r="E17" i="15"/>
  <c r="D15" i="15"/>
  <c r="C13" i="15"/>
  <c r="G19" i="15"/>
  <c r="G18" i="15"/>
  <c r="G21" i="15" s="1"/>
  <c r="G17" i="15"/>
  <c r="G23" i="14"/>
  <c r="G19" i="14"/>
  <c r="G18" i="14"/>
  <c r="G17" i="14"/>
  <c r="B11" i="15"/>
  <c r="A1" i="15"/>
  <c r="C11" i="15" s="1"/>
  <c r="B11" i="14"/>
  <c r="A1" i="14"/>
  <c r="C11" i="14" s="1"/>
  <c r="K38" i="13"/>
  <c r="K33" i="13"/>
  <c r="K23" i="13"/>
  <c r="K18" i="13"/>
  <c r="K5" i="13"/>
  <c r="I56" i="13"/>
  <c r="I57" i="13" s="1"/>
  <c r="C54" i="13"/>
  <c r="D57" i="13"/>
  <c r="D58" i="13"/>
  <c r="D56" i="13"/>
  <c r="G58" i="11"/>
  <c r="G57" i="11"/>
  <c r="G56" i="11"/>
  <c r="D51" i="11"/>
  <c r="D50" i="11"/>
  <c r="E49" i="11"/>
  <c r="E48" i="11"/>
  <c r="E47" i="11"/>
  <c r="D46" i="11"/>
  <c r="C45" i="11"/>
  <c r="C42" i="11"/>
  <c r="C40" i="11"/>
  <c r="D36" i="11"/>
  <c r="D38" i="11"/>
  <c r="D37" i="11"/>
  <c r="C35" i="11"/>
  <c r="D33" i="11"/>
  <c r="D32" i="11"/>
  <c r="D31" i="11"/>
  <c r="D30" i="11"/>
  <c r="D29" i="11"/>
  <c r="D28" i="11"/>
  <c r="C27" i="11"/>
  <c r="C25" i="11"/>
  <c r="D23" i="11"/>
  <c r="D22" i="11"/>
  <c r="D21" i="11"/>
  <c r="C20" i="11"/>
  <c r="D18" i="11"/>
  <c r="D17" i="11"/>
  <c r="D16" i="11"/>
  <c r="D15" i="11"/>
  <c r="D14" i="11"/>
  <c r="C13" i="11"/>
  <c r="G51" i="13"/>
  <c r="G50" i="13"/>
  <c r="G49" i="13"/>
  <c r="G48" i="13"/>
  <c r="G47" i="13"/>
  <c r="G46" i="13"/>
  <c r="G42" i="13"/>
  <c r="G40" i="13"/>
  <c r="G38" i="13"/>
  <c r="G37" i="13"/>
  <c r="G36" i="13"/>
  <c r="G33" i="13"/>
  <c r="G32" i="13"/>
  <c r="G31" i="13"/>
  <c r="G30" i="13"/>
  <c r="G29" i="13"/>
  <c r="G28" i="13"/>
  <c r="G25" i="13"/>
  <c r="G23" i="13"/>
  <c r="G22" i="13"/>
  <c r="G21" i="13"/>
  <c r="G18" i="13"/>
  <c r="G17" i="13"/>
  <c r="G16" i="13"/>
  <c r="G15" i="13"/>
  <c r="G14" i="13"/>
  <c r="B11" i="13"/>
  <c r="A1" i="13"/>
  <c r="C11" i="13" s="1"/>
  <c r="G37" i="12"/>
  <c r="G35" i="12"/>
  <c r="G34" i="12"/>
  <c r="G33" i="12"/>
  <c r="G32" i="12"/>
  <c r="G31" i="12"/>
  <c r="J35" i="12"/>
  <c r="G30" i="12"/>
  <c r="G27" i="12"/>
  <c r="G26" i="12"/>
  <c r="J27" i="12"/>
  <c r="G25" i="12"/>
  <c r="G22" i="12"/>
  <c r="G21" i="12"/>
  <c r="G20" i="12"/>
  <c r="G19" i="12"/>
  <c r="G18" i="12"/>
  <c r="G17" i="12"/>
  <c r="G16" i="12"/>
  <c r="B11" i="12"/>
  <c r="A1" i="12"/>
  <c r="C11" i="12" s="1"/>
  <c r="G51" i="11"/>
  <c r="G50" i="11"/>
  <c r="G49" i="11"/>
  <c r="G48" i="11"/>
  <c r="G47" i="11"/>
  <c r="G46" i="11"/>
  <c r="G42" i="11"/>
  <c r="G40" i="11"/>
  <c r="G38" i="11"/>
  <c r="G37" i="11"/>
  <c r="G36" i="11"/>
  <c r="G33" i="11"/>
  <c r="G32" i="11"/>
  <c r="G31" i="11"/>
  <c r="G30" i="11"/>
  <c r="G29" i="11"/>
  <c r="G28" i="11"/>
  <c r="G25" i="11"/>
  <c r="G23" i="11"/>
  <c r="G22" i="11"/>
  <c r="G21" i="11"/>
  <c r="G18" i="11"/>
  <c r="G17" i="11"/>
  <c r="G16" i="11"/>
  <c r="G15" i="11"/>
  <c r="G14" i="11"/>
  <c r="B11" i="11"/>
  <c r="A1" i="11"/>
  <c r="C11" i="11" s="1"/>
  <c r="G28" i="10"/>
  <c r="G27" i="10"/>
  <c r="G25" i="10"/>
  <c r="G24" i="10"/>
  <c r="G22" i="10"/>
  <c r="G21" i="10"/>
  <c r="G19" i="10"/>
  <c r="G18" i="10"/>
  <c r="G17" i="10"/>
  <c r="G14" i="10"/>
  <c r="G15" i="10"/>
  <c r="G13" i="10"/>
  <c r="B11" i="10"/>
  <c r="A1" i="10"/>
  <c r="C11" i="10" s="1"/>
  <c r="J9" i="6"/>
  <c r="J9" i="14" s="1"/>
  <c r="I19" i="6"/>
  <c r="H23" i="6"/>
  <c r="H21" i="6"/>
  <c r="N214" i="15" l="1"/>
  <c r="M36" i="11"/>
  <c r="M129" i="15"/>
  <c r="M117" i="15"/>
  <c r="N129" i="15"/>
  <c r="N117" i="15"/>
  <c r="J129" i="15"/>
  <c r="J117" i="15"/>
  <c r="K129" i="15"/>
  <c r="K117" i="15"/>
  <c r="L129" i="15"/>
  <c r="L117" i="15"/>
  <c r="K25" i="13"/>
  <c r="K40" i="13"/>
  <c r="J9" i="11"/>
  <c r="J47" i="11" s="1"/>
  <c r="J9" i="15"/>
  <c r="J245" i="15" s="1"/>
  <c r="K9" i="6"/>
  <c r="J9" i="10"/>
  <c r="J9" i="12"/>
  <c r="J6" i="6"/>
  <c r="J6" i="10" s="1"/>
  <c r="I15" i="5"/>
  <c r="I16" i="5"/>
  <c r="I58" i="13"/>
  <c r="I17" i="5" s="1"/>
  <c r="K42" i="13" l="1"/>
  <c r="K47" i="13" s="1"/>
  <c r="K50" i="13" s="1"/>
  <c r="K51" i="13" s="1"/>
  <c r="N217" i="15"/>
  <c r="N36" i="11" s="1"/>
  <c r="N223" i="15"/>
  <c r="J21" i="15"/>
  <c r="J23" i="15" s="1"/>
  <c r="J45" i="15" s="1"/>
  <c r="J47" i="15" s="1"/>
  <c r="J49" i="15" s="1"/>
  <c r="J189" i="15"/>
  <c r="J192" i="15" s="1"/>
  <c r="J191" i="15"/>
  <c r="J120" i="15"/>
  <c r="J118" i="15"/>
  <c r="J111" i="15"/>
  <c r="J113" i="15" s="1"/>
  <c r="J7" i="6"/>
  <c r="J7" i="15" s="1"/>
  <c r="J148" i="15" s="1"/>
  <c r="J153" i="15" s="1"/>
  <c r="J6" i="11"/>
  <c r="J6" i="15"/>
  <c r="L9" i="6"/>
  <c r="K9" i="14"/>
  <c r="K9" i="15"/>
  <c r="K9" i="12"/>
  <c r="K9" i="11"/>
  <c r="K9" i="10"/>
  <c r="J6" i="12"/>
  <c r="J6" i="14"/>
  <c r="J193" i="15" l="1"/>
  <c r="J199" i="15" s="1"/>
  <c r="J21" i="10" s="1"/>
  <c r="J36" i="15"/>
  <c r="J13" i="10" s="1"/>
  <c r="K21" i="15"/>
  <c r="K23" i="15" s="1"/>
  <c r="K45" i="15" s="1"/>
  <c r="K47" i="15" s="1"/>
  <c r="K49" i="15" s="1"/>
  <c r="K189" i="15"/>
  <c r="K192" i="15" s="1"/>
  <c r="K191" i="15"/>
  <c r="J166" i="15"/>
  <c r="J18" i="10" s="1"/>
  <c r="J130" i="15"/>
  <c r="J131" i="15" s="1"/>
  <c r="K127" i="15" s="1"/>
  <c r="J122" i="15"/>
  <c r="J137" i="15"/>
  <c r="J121" i="15"/>
  <c r="J7" i="11"/>
  <c r="K6" i="6"/>
  <c r="K6" i="12" s="1"/>
  <c r="J62" i="15"/>
  <c r="J7" i="10"/>
  <c r="J7" i="12"/>
  <c r="J7" i="14"/>
  <c r="J8" i="6"/>
  <c r="J8" i="15" s="1"/>
  <c r="J225" i="15" s="1"/>
  <c r="J227" i="15" s="1"/>
  <c r="J229" i="15" s="1"/>
  <c r="J234" i="15" s="1"/>
  <c r="J5" i="6"/>
  <c r="J5" i="15" s="1"/>
  <c r="K36" i="15"/>
  <c r="K13" i="10" s="1"/>
  <c r="M9" i="6"/>
  <c r="L9" i="15"/>
  <c r="L9" i="12"/>
  <c r="L9" i="11"/>
  <c r="L9" i="14"/>
  <c r="L9" i="10"/>
  <c r="K193" i="15" l="1"/>
  <c r="K199" i="15" s="1"/>
  <c r="K21" i="10" s="1"/>
  <c r="J236" i="15"/>
  <c r="K6" i="11"/>
  <c r="L21" i="15"/>
  <c r="L23" i="15" s="1"/>
  <c r="L45" i="15" s="1"/>
  <c r="L189" i="15"/>
  <c r="L192" i="15" s="1"/>
  <c r="L191" i="15"/>
  <c r="J5" i="10"/>
  <c r="J5" i="12"/>
  <c r="K6" i="15"/>
  <c r="J123" i="15"/>
  <c r="J138" i="15" s="1"/>
  <c r="J17" i="10" s="1"/>
  <c r="J82" i="15"/>
  <c r="J84" i="15" s="1"/>
  <c r="J91" i="15" s="1"/>
  <c r="K88" i="15" s="1"/>
  <c r="J159" i="15"/>
  <c r="J161" i="15" s="1"/>
  <c r="J168" i="15" s="1"/>
  <c r="K7" i="6"/>
  <c r="D11" i="16" s="1"/>
  <c r="K6" i="10"/>
  <c r="J14" i="10"/>
  <c r="J15" i="10" s="1"/>
  <c r="K115" i="15"/>
  <c r="K120" i="15" s="1"/>
  <c r="K111" i="15"/>
  <c r="K113" i="15" s="1"/>
  <c r="J8" i="12"/>
  <c r="J8" i="11"/>
  <c r="J8" i="14"/>
  <c r="J8" i="10"/>
  <c r="J5" i="11"/>
  <c r="J5" i="14"/>
  <c r="L47" i="15"/>
  <c r="L49" i="15" s="1"/>
  <c r="K62" i="15"/>
  <c r="K6" i="14"/>
  <c r="J29" i="15"/>
  <c r="J31" i="15" s="1"/>
  <c r="J38" i="15" s="1"/>
  <c r="J55" i="15"/>
  <c r="J57" i="15" s="1"/>
  <c r="J64" i="15" s="1"/>
  <c r="L36" i="15"/>
  <c r="L13" i="10" s="1"/>
  <c r="N9" i="6"/>
  <c r="M9" i="12"/>
  <c r="M9" i="11"/>
  <c r="M9" i="14"/>
  <c r="M9" i="10"/>
  <c r="M9" i="15"/>
  <c r="L193" i="15" l="1"/>
  <c r="L199" i="15" s="1"/>
  <c r="L21" i="10" s="1"/>
  <c r="J19" i="10"/>
  <c r="J22" i="10" s="1"/>
  <c r="K233" i="15"/>
  <c r="J90" i="15"/>
  <c r="J28" i="11"/>
  <c r="M21" i="15"/>
  <c r="M23" i="15" s="1"/>
  <c r="M45" i="15" s="1"/>
  <c r="M189" i="15"/>
  <c r="M192" i="15" s="1"/>
  <c r="M191" i="15"/>
  <c r="K7" i="10"/>
  <c r="K7" i="15"/>
  <c r="K148" i="15" s="1"/>
  <c r="K153" i="15" s="1"/>
  <c r="J139" i="15"/>
  <c r="J16" i="11" s="1"/>
  <c r="K5" i="6"/>
  <c r="K5" i="14" s="1"/>
  <c r="K7" i="14"/>
  <c r="K165" i="15"/>
  <c r="J167" i="15"/>
  <c r="J18" i="12" s="1"/>
  <c r="K8" i="6"/>
  <c r="K8" i="12" s="1"/>
  <c r="K7" i="11"/>
  <c r="L6" i="6"/>
  <c r="L6" i="14" s="1"/>
  <c r="K7" i="12"/>
  <c r="K122" i="15"/>
  <c r="K130" i="15"/>
  <c r="K131" i="15" s="1"/>
  <c r="L127" i="15" s="1"/>
  <c r="L62" i="15"/>
  <c r="J15" i="11"/>
  <c r="K35" i="15"/>
  <c r="J37" i="15"/>
  <c r="J16" i="12" s="1"/>
  <c r="K61" i="15"/>
  <c r="J63" i="15"/>
  <c r="N9" i="14"/>
  <c r="N9" i="10"/>
  <c r="N9" i="12"/>
  <c r="N9" i="11"/>
  <c r="N9" i="15"/>
  <c r="K5" i="11" l="1"/>
  <c r="K5" i="10"/>
  <c r="K5" i="12"/>
  <c r="K5" i="15"/>
  <c r="L6" i="12"/>
  <c r="M193" i="15"/>
  <c r="K235" i="15"/>
  <c r="K20" i="12" s="1"/>
  <c r="L6" i="11"/>
  <c r="N21" i="15"/>
  <c r="N23" i="15" s="1"/>
  <c r="N45" i="15" s="1"/>
  <c r="N47" i="15" s="1"/>
  <c r="N49" i="15" s="1"/>
  <c r="N189" i="15"/>
  <c r="N192" i="15" s="1"/>
  <c r="N191" i="15"/>
  <c r="L6" i="15"/>
  <c r="K135" i="15"/>
  <c r="L6" i="10"/>
  <c r="L7" i="6"/>
  <c r="D12" i="16" s="1"/>
  <c r="K8" i="15"/>
  <c r="K225" i="15" s="1"/>
  <c r="K227" i="15" s="1"/>
  <c r="K229" i="15" s="1"/>
  <c r="K234" i="15" s="1"/>
  <c r="K8" i="10"/>
  <c r="K8" i="14"/>
  <c r="K8" i="11"/>
  <c r="K166" i="15"/>
  <c r="K18" i="10" s="1"/>
  <c r="K116" i="15"/>
  <c r="L115" i="15"/>
  <c r="L120" i="15" s="1"/>
  <c r="L111" i="15"/>
  <c r="L113" i="15" s="1"/>
  <c r="J17" i="12"/>
  <c r="J19" i="12" s="1"/>
  <c r="M47" i="15"/>
  <c r="M49" i="15" s="1"/>
  <c r="M62" i="15" s="1"/>
  <c r="M36" i="15"/>
  <c r="M13" i="10" s="1"/>
  <c r="K29" i="15" l="1"/>
  <c r="K31" i="15" s="1"/>
  <c r="K38" i="15" s="1"/>
  <c r="K55" i="15"/>
  <c r="K57" i="15" s="1"/>
  <c r="K64" i="15" s="1"/>
  <c r="M199" i="15"/>
  <c r="M21" i="10" s="1"/>
  <c r="K236" i="15"/>
  <c r="N193" i="15"/>
  <c r="N36" i="15"/>
  <c r="N13" i="10" s="1"/>
  <c r="L7" i="14"/>
  <c r="L5" i="6"/>
  <c r="L5" i="14" s="1"/>
  <c r="M6" i="6"/>
  <c r="M6" i="15" s="1"/>
  <c r="L7" i="10"/>
  <c r="L8" i="6"/>
  <c r="L8" i="14" s="1"/>
  <c r="L7" i="11"/>
  <c r="L7" i="12"/>
  <c r="L7" i="15"/>
  <c r="L148" i="15" s="1"/>
  <c r="L153" i="15" s="1"/>
  <c r="L166" i="15" s="1"/>
  <c r="L18" i="10" s="1"/>
  <c r="K82" i="15"/>
  <c r="K84" i="15" s="1"/>
  <c r="K91" i="15" s="1"/>
  <c r="K159" i="15"/>
  <c r="K161" i="15" s="1"/>
  <c r="K168" i="15" s="1"/>
  <c r="L130" i="15"/>
  <c r="L131" i="15" s="1"/>
  <c r="M127" i="15" s="1"/>
  <c r="L122" i="15"/>
  <c r="K118" i="15"/>
  <c r="K137" i="15" s="1"/>
  <c r="N62" i="15"/>
  <c r="K37" i="15"/>
  <c r="K16" i="12" s="1"/>
  <c r="L35" i="15"/>
  <c r="K15" i="11"/>
  <c r="K63" i="15"/>
  <c r="L61" i="15"/>
  <c r="M6" i="14"/>
  <c r="M6" i="10" l="1"/>
  <c r="M7" i="6"/>
  <c r="D13" i="16" s="1"/>
  <c r="L5" i="11"/>
  <c r="M6" i="12"/>
  <c r="M6" i="11"/>
  <c r="N199" i="15"/>
  <c r="N21" i="10" s="1"/>
  <c r="L5" i="10"/>
  <c r="L5" i="12"/>
  <c r="L5" i="15"/>
  <c r="L233" i="15"/>
  <c r="L8" i="12"/>
  <c r="L8" i="11"/>
  <c r="L8" i="15"/>
  <c r="L225" i="15" s="1"/>
  <c r="L227" i="15" s="1"/>
  <c r="L229" i="15" s="1"/>
  <c r="L234" i="15" s="1"/>
  <c r="L8" i="10"/>
  <c r="L165" i="15"/>
  <c r="K167" i="15"/>
  <c r="K18" i="12" s="1"/>
  <c r="K90" i="15"/>
  <c r="K17" i="12" s="1"/>
  <c r="L88" i="15"/>
  <c r="K28" i="11"/>
  <c r="K121" i="15"/>
  <c r="K123" i="15" s="1"/>
  <c r="K138" i="15" s="1"/>
  <c r="K17" i="10" s="1"/>
  <c r="K14" i="10"/>
  <c r="K15" i="10" s="1"/>
  <c r="M115" i="15"/>
  <c r="M120" i="15" s="1"/>
  <c r="M111" i="15"/>
  <c r="M113" i="15" s="1"/>
  <c r="M7" i="14"/>
  <c r="M7" i="10"/>
  <c r="M5" i="6"/>
  <c r="M8" i="6"/>
  <c r="N6" i="6"/>
  <c r="M7" i="12" l="1"/>
  <c r="M7" i="11"/>
  <c r="M7" i="15"/>
  <c r="M148" i="15" s="1"/>
  <c r="M153" i="15" s="1"/>
  <c r="M166" i="15" s="1"/>
  <c r="M18" i="10" s="1"/>
  <c r="K19" i="12"/>
  <c r="L29" i="15"/>
  <c r="L31" i="15" s="1"/>
  <c r="L38" i="15" s="1"/>
  <c r="L37" i="15" s="1"/>
  <c r="L16" i="12" s="1"/>
  <c r="L55" i="15"/>
  <c r="L57" i="15" s="1"/>
  <c r="L64" i="15" s="1"/>
  <c r="M61" i="15" s="1"/>
  <c r="L159" i="15"/>
  <c r="L161" i="15" s="1"/>
  <c r="L168" i="15" s="1"/>
  <c r="L167" i="15" s="1"/>
  <c r="L18" i="12" s="1"/>
  <c r="L82" i="15"/>
  <c r="L84" i="15" s="1"/>
  <c r="L91" i="15" s="1"/>
  <c r="M88" i="15" s="1"/>
  <c r="L235" i="15"/>
  <c r="L20" i="12" s="1"/>
  <c r="M130" i="15"/>
  <c r="M131" i="15" s="1"/>
  <c r="N127" i="15" s="1"/>
  <c r="M122" i="15"/>
  <c r="K139" i="15"/>
  <c r="K19" i="10"/>
  <c r="K22" i="10" s="1"/>
  <c r="M8" i="14"/>
  <c r="M8" i="15"/>
  <c r="M225" i="15" s="1"/>
  <c r="M227" i="15" s="1"/>
  <c r="M229" i="15" s="1"/>
  <c r="M234" i="15" s="1"/>
  <c r="M5" i="14"/>
  <c r="M5" i="15"/>
  <c r="N6" i="14"/>
  <c r="N6" i="15"/>
  <c r="M8" i="12"/>
  <c r="M5" i="12"/>
  <c r="N6" i="11"/>
  <c r="N6" i="12"/>
  <c r="M8" i="10"/>
  <c r="M8" i="11"/>
  <c r="M5" i="10"/>
  <c r="M5" i="11"/>
  <c r="N7" i="6"/>
  <c r="D14" i="16" s="1"/>
  <c r="N6" i="10"/>
  <c r="L63" i="15" l="1"/>
  <c r="M165" i="15"/>
  <c r="M35" i="15"/>
  <c r="L15" i="11"/>
  <c r="L28" i="11"/>
  <c r="L236" i="15"/>
  <c r="L90" i="15"/>
  <c r="M233" i="15"/>
  <c r="M235" i="15" s="1"/>
  <c r="M82" i="15"/>
  <c r="M84" i="15" s="1"/>
  <c r="M91" i="15" s="1"/>
  <c r="M90" i="15" s="1"/>
  <c r="M159" i="15"/>
  <c r="M161" i="15" s="1"/>
  <c r="M168" i="15" s="1"/>
  <c r="L135" i="15"/>
  <c r="K16" i="11"/>
  <c r="N115" i="15"/>
  <c r="N120" i="15" s="1"/>
  <c r="N111" i="15"/>
  <c r="N113" i="15" s="1"/>
  <c r="M29" i="15"/>
  <c r="M31" i="15" s="1"/>
  <c r="M38" i="15" s="1"/>
  <c r="M55" i="15"/>
  <c r="M57" i="15" s="1"/>
  <c r="M64" i="15" s="1"/>
  <c r="M28" i="11" s="1"/>
  <c r="N7" i="14"/>
  <c r="N7" i="15"/>
  <c r="N148" i="15" s="1"/>
  <c r="N153" i="15" s="1"/>
  <c r="N7" i="11"/>
  <c r="N7" i="12"/>
  <c r="N7" i="10"/>
  <c r="N8" i="6"/>
  <c r="N5" i="6"/>
  <c r="L17" i="12" l="1"/>
  <c r="L19" i="12" s="1"/>
  <c r="N88" i="15"/>
  <c r="M236" i="15"/>
  <c r="M20" i="12"/>
  <c r="N166" i="15"/>
  <c r="N18" i="10" s="1"/>
  <c r="M167" i="15"/>
  <c r="M18" i="12" s="1"/>
  <c r="N165" i="15"/>
  <c r="N130" i="15"/>
  <c r="N131" i="15" s="1"/>
  <c r="N122" i="15"/>
  <c r="M63" i="15"/>
  <c r="M17" i="12" s="1"/>
  <c r="L116" i="15"/>
  <c r="N61" i="15"/>
  <c r="M15" i="11"/>
  <c r="N35" i="15"/>
  <c r="M37" i="15"/>
  <c r="M16" i="12" s="1"/>
  <c r="N5" i="14"/>
  <c r="N5" i="15"/>
  <c r="N8" i="14"/>
  <c r="N8" i="15"/>
  <c r="N225" i="15" s="1"/>
  <c r="N227" i="15" s="1"/>
  <c r="N229" i="15" s="1"/>
  <c r="N234" i="15" s="1"/>
  <c r="N8" i="12"/>
  <c r="N5" i="12"/>
  <c r="N5" i="10"/>
  <c r="N5" i="11"/>
  <c r="N8" i="10"/>
  <c r="N8" i="11"/>
  <c r="M19" i="12" l="1"/>
  <c r="N233" i="15"/>
  <c r="N235" i="15" s="1"/>
  <c r="N82" i="15"/>
  <c r="N84" i="15" s="1"/>
  <c r="N91" i="15" s="1"/>
  <c r="N90" i="15" s="1"/>
  <c r="N159" i="15"/>
  <c r="N161" i="15" s="1"/>
  <c r="N168" i="15" s="1"/>
  <c r="N167" i="15" s="1"/>
  <c r="N18" i="12" s="1"/>
  <c r="L118" i="15"/>
  <c r="L137" i="15" s="1"/>
  <c r="N29" i="15"/>
  <c r="N31" i="15" s="1"/>
  <c r="N38" i="15" s="1"/>
  <c r="N15" i="11" s="1"/>
  <c r="N55" i="15"/>
  <c r="N57" i="15" s="1"/>
  <c r="N64" i="15" s="1"/>
  <c r="J22" i="12"/>
  <c r="N28" i="11" l="1"/>
  <c r="J37" i="12"/>
  <c r="J14" i="11" s="1"/>
  <c r="K245" i="15" s="1"/>
  <c r="J246" i="15"/>
  <c r="N236" i="15"/>
  <c r="N20" i="12"/>
  <c r="L121" i="15"/>
  <c r="L123" i="15" s="1"/>
  <c r="L138" i="15" s="1"/>
  <c r="L17" i="10" s="1"/>
  <c r="L14" i="10"/>
  <c r="L15" i="10" s="1"/>
  <c r="N63" i="15"/>
  <c r="N37" i="15"/>
  <c r="N16" i="12" s="1"/>
  <c r="J38" i="11"/>
  <c r="J249" i="15" l="1"/>
  <c r="J254" i="15" s="1"/>
  <c r="L139" i="15"/>
  <c r="L16" i="11" s="1"/>
  <c r="L19" i="10"/>
  <c r="L22" i="10" s="1"/>
  <c r="N17" i="12"/>
  <c r="N19" i="12" s="1"/>
  <c r="K38" i="11"/>
  <c r="J24" i="10" l="1"/>
  <c r="J25" i="10" s="1"/>
  <c r="J28" i="10" s="1"/>
  <c r="J48" i="11" s="1"/>
  <c r="J256" i="15"/>
  <c r="K253" i="15"/>
  <c r="J29" i="11"/>
  <c r="M135" i="15"/>
  <c r="M116" i="15" s="1"/>
  <c r="L38" i="11"/>
  <c r="K255" i="15" l="1"/>
  <c r="K25" i="12" s="1"/>
  <c r="M118" i="15"/>
  <c r="M137" i="15" s="1"/>
  <c r="M38" i="11"/>
  <c r="M121" i="15" l="1"/>
  <c r="M123" i="15" s="1"/>
  <c r="M138" i="15" s="1"/>
  <c r="M17" i="10" s="1"/>
  <c r="M14" i="10"/>
  <c r="M15" i="10" s="1"/>
  <c r="N38" i="11"/>
  <c r="M139" i="15" l="1"/>
  <c r="N135" i="15" s="1"/>
  <c r="M19" i="10"/>
  <c r="M22" i="10" s="1"/>
  <c r="J18" i="11"/>
  <c r="M16" i="11" l="1"/>
  <c r="N116" i="15"/>
  <c r="K27" i="12"/>
  <c r="N118" i="15" l="1"/>
  <c r="N137" i="15" s="1"/>
  <c r="K22" i="12"/>
  <c r="N121" i="15" l="1"/>
  <c r="N123" i="15" s="1"/>
  <c r="N138" i="15" s="1"/>
  <c r="N17" i="10" s="1"/>
  <c r="N14" i="10"/>
  <c r="N15" i="10" s="1"/>
  <c r="J50" i="11"/>
  <c r="K47" i="11" s="1"/>
  <c r="N19" i="10" l="1"/>
  <c r="N22" i="10" s="1"/>
  <c r="N139" i="15"/>
  <c r="N16" i="11" s="1"/>
  <c r="J51" i="11"/>
  <c r="J33" i="11"/>
  <c r="J40" i="11" l="1"/>
  <c r="K35" i="12"/>
  <c r="K37" i="12" l="1"/>
  <c r="K14" i="11" s="1"/>
  <c r="K18" i="11" s="1"/>
  <c r="K246" i="15"/>
  <c r="L245" i="15"/>
  <c r="K249" i="15" l="1"/>
  <c r="K254" i="15" s="1"/>
  <c r="L22" i="12"/>
  <c r="K256" i="15" l="1"/>
  <c r="L253" i="15" s="1"/>
  <c r="K24" i="10"/>
  <c r="K25" i="10" s="1"/>
  <c r="K28" i="10" s="1"/>
  <c r="K48" i="11" s="1"/>
  <c r="K50" i="11" s="1"/>
  <c r="L47" i="11" s="1"/>
  <c r="K29" i="11" l="1"/>
  <c r="K33" i="11" s="1"/>
  <c r="K40" i="11" s="1"/>
  <c r="L255" i="15"/>
  <c r="L25" i="12" s="1"/>
  <c r="L27" i="12" s="1"/>
  <c r="K51" i="11"/>
  <c r="L35" i="12" l="1"/>
  <c r="L37" i="12" l="1"/>
  <c r="L14" i="11" s="1"/>
  <c r="M245" i="15" s="1"/>
  <c r="L246" i="15"/>
  <c r="L249" i="15" l="1"/>
  <c r="L254" i="15" s="1"/>
  <c r="L18" i="11"/>
  <c r="L24" i="10" l="1"/>
  <c r="L25" i="10" s="1"/>
  <c r="L28" i="10" s="1"/>
  <c r="L48" i="11" s="1"/>
  <c r="L256" i="15"/>
  <c r="M253" i="15" s="1"/>
  <c r="L29" i="11"/>
  <c r="M22" i="12"/>
  <c r="M255" i="15" l="1"/>
  <c r="M25" i="12" s="1"/>
  <c r="M27" i="12" s="1"/>
  <c r="L50" i="11"/>
  <c r="M47" i="11" s="1"/>
  <c r="L51" i="11" l="1"/>
  <c r="L33" i="11"/>
  <c r="L40" i="11" s="1"/>
  <c r="M35" i="12" l="1"/>
  <c r="M37" i="12" l="1"/>
  <c r="M14" i="11" s="1"/>
  <c r="M18" i="11" s="1"/>
  <c r="M246" i="15"/>
  <c r="N245" i="15" l="1"/>
  <c r="M249" i="15"/>
  <c r="M254" i="15" s="1"/>
  <c r="N22" i="12"/>
  <c r="M256" i="15" l="1"/>
  <c r="N253" i="15" s="1"/>
  <c r="M24" i="10"/>
  <c r="M25" i="10" s="1"/>
  <c r="M28" i="10" s="1"/>
  <c r="M48" i="11" s="1"/>
  <c r="M50" i="11" s="1"/>
  <c r="N47" i="11" s="1"/>
  <c r="M29" i="11" l="1"/>
  <c r="M33" i="11" s="1"/>
  <c r="M40" i="11" s="1"/>
  <c r="N255" i="15"/>
  <c r="N25" i="12" s="1"/>
  <c r="N27" i="12" s="1"/>
  <c r="M51" i="11"/>
  <c r="N35" i="12" l="1"/>
  <c r="N37" i="12" l="1"/>
  <c r="N14" i="11" s="1"/>
  <c r="N18" i="11" s="1"/>
  <c r="N246" i="15"/>
  <c r="N254" i="15" l="1"/>
  <c r="N24" i="10" s="1"/>
  <c r="N25" i="10" s="1"/>
  <c r="N28" i="10" s="1"/>
  <c r="N48" i="11" s="1"/>
  <c r="N50" i="11" s="1"/>
  <c r="N51" i="11" s="1"/>
  <c r="N249" i="15"/>
  <c r="N256" i="15" l="1"/>
  <c r="N29" i="11" s="1"/>
  <c r="N33" i="11" s="1"/>
  <c r="N40" i="11" s="1"/>
  <c r="I37" i="4" l="1"/>
  <c r="B6" i="5" l="1"/>
  <c r="B6" i="9" l="1"/>
  <c r="A1" i="9"/>
  <c r="C6" i="9" s="1"/>
  <c r="B11" i="6" l="1"/>
  <c r="A1" i="6"/>
  <c r="A1" i="5" l="1"/>
  <c r="A1" i="2" l="1"/>
  <c r="E25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6" s="1"/>
  <c r="B6" i="2"/>
  <c r="A2" i="14" l="1"/>
  <c r="A2" i="15"/>
  <c r="A2" i="12"/>
  <c r="A2" i="13"/>
  <c r="A2" i="10"/>
  <c r="A2" i="11"/>
  <c r="C6" i="1"/>
  <c r="B15" i="2"/>
  <c r="B35" i="2" s="1"/>
  <c r="A2" i="9"/>
  <c r="A2" i="6"/>
  <c r="A2" i="2"/>
  <c r="A2" i="5"/>
  <c r="B56" i="4"/>
  <c r="A2" i="4"/>
  <c r="A2" i="3"/>
  <c r="J200" i="15" l="1"/>
  <c r="K197" i="15" l="1"/>
  <c r="K200" i="15" s="1"/>
  <c r="J21" i="11"/>
  <c r="J23" i="11" s="1"/>
  <c r="J25" i="11" s="1"/>
  <c r="J42" i="11" s="1"/>
  <c r="J56" i="11" s="1"/>
  <c r="L197" i="15" l="1"/>
  <c r="L200" i="15" s="1"/>
  <c r="K21" i="11"/>
  <c r="K23" i="11" s="1"/>
  <c r="K25" i="11" s="1"/>
  <c r="K42" i="11" s="1"/>
  <c r="K56" i="11" s="1"/>
  <c r="J57" i="11"/>
  <c r="K57" i="11" l="1"/>
  <c r="M197" i="15"/>
  <c r="M200" i="15" s="1"/>
  <c r="L21" i="11"/>
  <c r="L23" i="11" s="1"/>
  <c r="L25" i="11" s="1"/>
  <c r="L42" i="11" s="1"/>
  <c r="L56" i="11" s="1"/>
  <c r="J58" i="11"/>
  <c r="L57" i="11" l="1"/>
  <c r="N197" i="15"/>
  <c r="N200" i="15" s="1"/>
  <c r="N21" i="11" s="1"/>
  <c r="N23" i="11" s="1"/>
  <c r="N25" i="11" s="1"/>
  <c r="N42" i="11" s="1"/>
  <c r="N56" i="11" s="1"/>
  <c r="M21" i="11"/>
  <c r="M23" i="11" s="1"/>
  <c r="M25" i="11" s="1"/>
  <c r="M42" i="11" s="1"/>
  <c r="M56" i="11" s="1"/>
  <c r="M57" i="11" s="1"/>
  <c r="M58" i="11" s="1"/>
  <c r="K58" i="11"/>
  <c r="N57" i="11" l="1"/>
  <c r="N58" i="11" s="1"/>
  <c r="I56" i="11"/>
  <c r="I12" i="5" s="1"/>
  <c r="L58" i="11"/>
  <c r="I58" i="11" l="1"/>
  <c r="I14" i="5" s="1"/>
  <c r="I57" i="11"/>
  <c r="I13" i="5" s="1"/>
  <c r="I25" i="5" l="1"/>
  <c r="F4" i="16" l="1"/>
  <c r="F4" i="6"/>
  <c r="F4" i="9"/>
  <c r="I4" i="2"/>
  <c r="F4" i="13"/>
  <c r="F4" i="14"/>
  <c r="G4" i="3"/>
  <c r="I4" i="4"/>
  <c r="F4" i="10"/>
  <c r="F4" i="11"/>
  <c r="F4" i="5"/>
  <c r="G4" i="12"/>
  <c r="F4" i="15"/>
</calcChain>
</file>

<file path=xl/sharedStrings.xml><?xml version="1.0" encoding="utf-8"?>
<sst xmlns="http://schemas.openxmlformats.org/spreadsheetml/2006/main" count="604" uniqueCount="340">
  <si>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</si>
  <si>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</si>
  <si>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</si>
  <si>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</si>
  <si>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</si>
  <si>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</si>
  <si>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</si>
  <si>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</si>
  <si>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</si>
  <si>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</si>
  <si>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</si>
  <si>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</si>
  <si>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</si>
  <si>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</si>
  <si>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</si>
  <si>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</si>
  <si>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</si>
  <si>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</si>
  <si>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</si>
  <si>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</si>
  <si>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</si>
  <si>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</si>
  <si>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</si>
  <si>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</si>
  <si>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</si>
  <si>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</si>
  <si>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</si>
  <si>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</si>
  <si>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</si>
  <si>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</si>
  <si>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</si>
  <si>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</si>
  <si>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</si>
  <si>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</si>
  <si>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</si>
  <si>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</si>
  <si>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</si>
  <si>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</si>
  <si>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</si>
  <si>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</si>
  <si>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</si>
  <si>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</si>
  <si>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</si>
  <si>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</si>
  <si>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</si>
  <si>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</si>
  <si>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</si>
  <si>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</si>
  <si>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</si>
  <si>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</si>
  <si>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</si>
  <si>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</si>
  <si>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</si>
  <si>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</si>
  <si>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</si>
  <si>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</si>
  <si>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</si>
  <si>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</si>
  <si>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</si>
  <si>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</si>
  <si>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</si>
  <si>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</si>
  <si>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</si>
  <si>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</si>
  <si>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</si>
  <si>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</si>
  <si>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</si>
  <si>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</si>
  <si>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</si>
  <si>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</si>
  <si>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</si>
  <si>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</si>
  <si>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</si>
  <si>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</si>
  <si>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</si>
  <si>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</si>
  <si>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</si>
  <si>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</si>
  <si>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</si>
  <si>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</si>
  <si>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</si>
  <si>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</si>
  <si>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</si>
  <si>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</si>
  <si>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</si>
  <si>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</si>
  <si>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</si>
  <si>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LB</t>
  </si>
  <si>
    <t>So did I.</t>
  </si>
  <si>
    <t>And me.</t>
  </si>
  <si>
    <t>Dave</t>
  </si>
  <si>
    <t>Technical assumptions</t>
  </si>
  <si>
    <t>Unit</t>
  </si>
  <si>
    <t>Boolean</t>
  </si>
  <si>
    <t>Percentage</t>
  </si>
  <si>
    <t>No of Days</t>
  </si>
  <si>
    <t>Year</t>
  </si>
  <si>
    <t>No of Years</t>
  </si>
  <si>
    <t>Income Statement</t>
  </si>
  <si>
    <t>Balance Sheet</t>
  </si>
  <si>
    <t>Cash Flow Statement</t>
  </si>
  <si>
    <t>#</t>
  </si>
  <si>
    <t>US$'000</t>
  </si>
  <si>
    <t>[1,0]</t>
  </si>
  <si>
    <t>%</t>
  </si>
  <si>
    <t># Days</t>
  </si>
  <si>
    <t># Year(s)</t>
  </si>
  <si>
    <t>x</t>
  </si>
  <si>
    <t>IS</t>
  </si>
  <si>
    <t>BS</t>
  </si>
  <si>
    <t>CFS</t>
  </si>
  <si>
    <t>Months_in_Month</t>
  </si>
  <si>
    <t>Months_in_Qtr</t>
  </si>
  <si>
    <t>Months_in_Half_Yr</t>
  </si>
  <si>
    <t>Months_in_Year</t>
  </si>
  <si>
    <t>Quarters_in_Year</t>
  </si>
  <si>
    <t>Rounding_Accuracy</t>
  </si>
  <si>
    <t>Very_Large_Number</t>
  </si>
  <si>
    <t>Very_Small_Number</t>
  </si>
  <si>
    <t>No_of_Days</t>
  </si>
  <si>
    <t>Multiplier</t>
  </si>
  <si>
    <t>Income_Statement</t>
  </si>
  <si>
    <t>Balance_Sheet</t>
  </si>
  <si>
    <t>Cash_Flow_Statement</t>
  </si>
  <si>
    <t>No_of_Years</t>
  </si>
  <si>
    <t>Weight</t>
  </si>
  <si>
    <t>Price / Weight</t>
  </si>
  <si>
    <t>kg</t>
  </si>
  <si>
    <t>$/kg</t>
  </si>
  <si>
    <t>Price_Weight</t>
  </si>
  <si>
    <t>Dollars</t>
  </si>
  <si>
    <t>$</t>
  </si>
  <si>
    <t>Financial Statement Abbreviations</t>
  </si>
  <si>
    <t>Financial Model for Training Course.</t>
  </si>
  <si>
    <t>Liam Bastick</t>
  </si>
  <si>
    <t>Go Skills Financial Modeling Training</t>
  </si>
  <si>
    <t>Version LB1.01</t>
  </si>
  <si>
    <t>Version LB1.02</t>
  </si>
  <si>
    <t>Version LB1.03</t>
  </si>
  <si>
    <t>I12</t>
  </si>
  <si>
    <t>A1</t>
  </si>
  <si>
    <t>J11</t>
  </si>
  <si>
    <t>Days_in_Year</t>
  </si>
  <si>
    <t>Revenue</t>
  </si>
  <si>
    <t>COGS</t>
  </si>
  <si>
    <t>Gross Profit</t>
  </si>
  <si>
    <t>Wastage</t>
  </si>
  <si>
    <t>Operating expenditure</t>
  </si>
  <si>
    <t>EBITDA</t>
  </si>
  <si>
    <t>Depreciation</t>
  </si>
  <si>
    <t>EBIT</t>
  </si>
  <si>
    <t>Interest Expense</t>
  </si>
  <si>
    <t>NPBT</t>
  </si>
  <si>
    <t>Tax Expense</t>
  </si>
  <si>
    <t>NPAT</t>
  </si>
  <si>
    <t>Current assets</t>
  </si>
  <si>
    <t>Cash</t>
  </si>
  <si>
    <t>Accounts receivable</t>
  </si>
  <si>
    <t>Inventory</t>
  </si>
  <si>
    <t>Other current assets</t>
  </si>
  <si>
    <t>Non-current assets</t>
  </si>
  <si>
    <t>PP&amp;E</t>
  </si>
  <si>
    <t>Deferred tax assets</t>
  </si>
  <si>
    <t>Total assets</t>
  </si>
  <si>
    <t>Current liabilities</t>
  </si>
  <si>
    <t>Accounts payable</t>
  </si>
  <si>
    <t>Interest payable</t>
  </si>
  <si>
    <t>Dividends payable</t>
  </si>
  <si>
    <t>Tax payable</t>
  </si>
  <si>
    <t>Other current liabilities</t>
  </si>
  <si>
    <t>Non-current liabilities</t>
  </si>
  <si>
    <t>Debt</t>
  </si>
  <si>
    <t>Deferred tax liabilities</t>
  </si>
  <si>
    <t>Total liabilities</t>
  </si>
  <si>
    <t>Net assets</t>
  </si>
  <si>
    <t>Equity</t>
  </si>
  <si>
    <t>Ordinary equity</t>
  </si>
  <si>
    <t>Dividends declared</t>
  </si>
  <si>
    <t>Retained profits</t>
  </si>
  <si>
    <t>Opening retained profits</t>
  </si>
  <si>
    <t>Direct Cash Flow Statement</t>
  </si>
  <si>
    <t>Operating cash flow</t>
  </si>
  <si>
    <t>Cash receipts</t>
  </si>
  <si>
    <t>Direct cash payments</t>
  </si>
  <si>
    <t>Indirect cash payments</t>
  </si>
  <si>
    <t>Cash payments</t>
  </si>
  <si>
    <t>Interest paid</t>
  </si>
  <si>
    <t>Tax paid</t>
  </si>
  <si>
    <t>Net Operating cash flow</t>
  </si>
  <si>
    <t>Investing cash flows</t>
  </si>
  <si>
    <t xml:space="preserve">Interest received </t>
  </si>
  <si>
    <t>Purchases of Non-Current Assets</t>
  </si>
  <si>
    <t>Net Investing cash flows</t>
  </si>
  <si>
    <t>Financing cash flows</t>
  </si>
  <si>
    <t>Debt drawdowns</t>
  </si>
  <si>
    <t>Debt repayments</t>
  </si>
  <si>
    <t>Ordinary equity issuances</t>
  </si>
  <si>
    <t>Ordinary equity buybacks</t>
  </si>
  <si>
    <t>Dividends paid</t>
  </si>
  <si>
    <t>Net Financing cash flows</t>
  </si>
  <si>
    <t>Net increase / (decrease) in cash held</t>
  </si>
  <si>
    <t>Total equity</t>
  </si>
  <si>
    <t>Total current assets</t>
  </si>
  <si>
    <t>Total non-current assets</t>
  </si>
  <si>
    <t>Total current liabilities</t>
  </si>
  <si>
    <t>Total non-current liabilities</t>
  </si>
  <si>
    <t>Opening Balance Sheet</t>
  </si>
  <si>
    <t>Checks</t>
  </si>
  <si>
    <t>PF error check</t>
  </si>
  <si>
    <t>Balance check</t>
  </si>
  <si>
    <t>Insolvency check</t>
  </si>
  <si>
    <t>Balance Sheet has no errors</t>
  </si>
  <si>
    <t>Balance Sheet balances</t>
  </si>
  <si>
    <t>Insolvency Check for Balance Sheet</t>
  </si>
  <si>
    <t>Opening Balance Sheet has no errors</t>
  </si>
  <si>
    <t>Opening Balance Sheet balances</t>
  </si>
  <si>
    <t>Insolvency Check for Opening Balance Sheet</t>
  </si>
  <si>
    <t>w</t>
  </si>
  <si>
    <t>Calculations</t>
  </si>
  <si>
    <t>Revenue and related</t>
  </si>
  <si>
    <t>Sales</t>
  </si>
  <si>
    <t>Projected sales</t>
  </si>
  <si>
    <t>Unit price</t>
  </si>
  <si>
    <t>Inflation</t>
  </si>
  <si>
    <t>Working capital</t>
  </si>
  <si>
    <t>Days receivable</t>
  </si>
  <si>
    <t>Price per unit</t>
  </si>
  <si>
    <t>Days in period</t>
  </si>
  <si>
    <t>Closing receivables</t>
  </si>
  <si>
    <t>Control account</t>
  </si>
  <si>
    <t>Opening receivables</t>
  </si>
  <si>
    <t>COGS and related</t>
  </si>
  <si>
    <t>Gross margin (non-inventory)</t>
  </si>
  <si>
    <t>Days payable</t>
  </si>
  <si>
    <t>Gross profit (non-inventory)</t>
  </si>
  <si>
    <t>Closing payables</t>
  </si>
  <si>
    <t>Opening payables</t>
  </si>
  <si>
    <t>Purchases and related</t>
  </si>
  <si>
    <t>Purchases</t>
  </si>
  <si>
    <t>Price</t>
  </si>
  <si>
    <t>Amount used per sale</t>
  </si>
  <si>
    <t>Prices</t>
  </si>
  <si>
    <t>Control Account</t>
  </si>
  <si>
    <t>Referred Values</t>
  </si>
  <si>
    <t>Inventory balance pre-COGS transfer</t>
  </si>
  <si>
    <t>Inventory balance pre-wastage</t>
  </si>
  <si>
    <t>Inventory at hand (kg)</t>
  </si>
  <si>
    <t>Opening inventory</t>
  </si>
  <si>
    <t>Closing inventory</t>
  </si>
  <si>
    <t>Inventory ($)</t>
  </si>
  <si>
    <t>Inventory and related</t>
  </si>
  <si>
    <t>All expenses are assumed to be paid as they are incurred</t>
  </si>
  <si>
    <t xml:space="preserve">Growth rates used from </t>
  </si>
  <si>
    <t>Amounts</t>
  </si>
  <si>
    <t>Growth rates</t>
  </si>
  <si>
    <t>Year Lookups</t>
  </si>
  <si>
    <t>LU_Future_Years</t>
  </si>
  <si>
    <t>Actuals Throughout</t>
  </si>
  <si>
    <t>Growth rates flag</t>
  </si>
  <si>
    <t>Opex</t>
  </si>
  <si>
    <t>Opex and cash payments</t>
  </si>
  <si>
    <t>Lookup</t>
  </si>
  <si>
    <t>Capital expenditure</t>
  </si>
  <si>
    <t>Accounting depreciation - straight line</t>
  </si>
  <si>
    <t>Remaining life of existing assets</t>
  </si>
  <si>
    <t>Annual rate</t>
  </si>
  <si>
    <t>Economic life of new capex</t>
  </si>
  <si>
    <t>Capex and related</t>
  </si>
  <si>
    <t>Existing assets</t>
  </si>
  <si>
    <t>Depreciation - existing assets</t>
  </si>
  <si>
    <t>Depreciation - new assets</t>
  </si>
  <si>
    <t>New assets - depreciation counter</t>
  </si>
  <si>
    <t>unit</t>
  </si>
  <si>
    <t>Total depreciation</t>
  </si>
  <si>
    <t>Opening net book value</t>
  </si>
  <si>
    <t>Closing net book value</t>
  </si>
  <si>
    <t>Aggregate depreciation - existing assets</t>
  </si>
  <si>
    <t>Aggregate depreciation - new assets</t>
  </si>
  <si>
    <t>Debt and related</t>
  </si>
  <si>
    <t>Movements are assumed to occur at the end of each period</t>
  </si>
  <si>
    <t>Interest is assumed to be paid in the following period</t>
  </si>
  <si>
    <t>Interest</t>
  </si>
  <si>
    <t>Interest rate</t>
  </si>
  <si>
    <t>Interest receivable</t>
  </si>
  <si>
    <t>Interest receivable rate</t>
  </si>
  <si>
    <t>Proportion into period of movement</t>
  </si>
  <si>
    <t>Opening debt</t>
  </si>
  <si>
    <t>Closing debt</t>
  </si>
  <si>
    <t>Days in Period</t>
  </si>
  <si>
    <t>Days in Standard Year</t>
  </si>
  <si>
    <t>Proportion of Year</t>
  </si>
  <si>
    <t>Opening interest payable</t>
  </si>
  <si>
    <t>Interest expense</t>
  </si>
  <si>
    <t>Closing interest payable</t>
  </si>
  <si>
    <t>Opening cash balance</t>
  </si>
  <si>
    <t>Non-interest cash movement</t>
  </si>
  <si>
    <t>Tax rate</t>
  </si>
  <si>
    <t>Opening interest receivable</t>
  </si>
  <si>
    <t>Interest Income</t>
  </si>
  <si>
    <t>Interest Received</t>
  </si>
  <si>
    <t>Closing interest receivable</t>
  </si>
  <si>
    <t>Taxation</t>
  </si>
  <si>
    <t>Permanent differences</t>
  </si>
  <si>
    <t>Non-assessable revenue</t>
  </si>
  <si>
    <t>Disallowable expenses</t>
  </si>
  <si>
    <t>Tax depreciation (declining balance)</t>
  </si>
  <si>
    <t>Declining balance multiplier</t>
  </si>
  <si>
    <t>Remaining life of tax assets</t>
  </si>
  <si>
    <t>Tax asset life of new capex</t>
  </si>
  <si>
    <t>DTA</t>
  </si>
  <si>
    <t>DTAs are assumed to arise through losses carried forward</t>
  </si>
  <si>
    <t>DTL</t>
  </si>
  <si>
    <t>DTLs are assumed to arise through depreciation timing differences</t>
  </si>
  <si>
    <t>Tax payable and paid</t>
  </si>
  <si>
    <t>Payment delay</t>
  </si>
  <si>
    <t>Accounting taxable profit</t>
  </si>
  <si>
    <t>Deduct: Non-assessable revenue</t>
  </si>
  <si>
    <t>Add: Disallowable expenses</t>
  </si>
  <si>
    <t>Tax expense / (credit)</t>
  </si>
  <si>
    <t>Tax asset life of new Capex</t>
  </si>
  <si>
    <t>Tax depreciation</t>
  </si>
  <si>
    <t>Accounting depreciation</t>
  </si>
  <si>
    <t>Depreciation timing difference</t>
  </si>
  <si>
    <t>Movement in DTLs</t>
  </si>
  <si>
    <t>Opening DTLs</t>
  </si>
  <si>
    <t>Closing DTLs</t>
  </si>
  <si>
    <t>Taxable profit / (loss) before losses</t>
  </si>
  <si>
    <t>Tax losses used</t>
  </si>
  <si>
    <t>Taxable profit / (loss) after losses</t>
  </si>
  <si>
    <t>Tax payable for period</t>
  </si>
  <si>
    <t>Opening tax payable</t>
  </si>
  <si>
    <t>Closing tax payable</t>
  </si>
  <si>
    <t>Tax losses memorandum</t>
  </si>
  <si>
    <t>Opening tax losses</t>
  </si>
  <si>
    <t>Tax losses created during the period</t>
  </si>
  <si>
    <t>Closing tax losses</t>
  </si>
  <si>
    <t>Movement in tax losses</t>
  </si>
  <si>
    <t>Movement in DTAs</t>
  </si>
  <si>
    <t>Opening DTAs</t>
  </si>
  <si>
    <t>Closing DTAs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</si>
</sst>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_-* #,##0_-;[Red]* \(#,##0\);_-* &quot;-&quot;_-;_-@_-"/>
    <numFmt numFmtId="182" formatCode="[=1]#,##0&quot; year&quot;;#,##0&quot; years&quot;"/>
    <numFmt numFmtId="183" formatCode="#,##0.00\x"/>
    <numFmt numFmtId="184" formatCode="0.00\x"/>
    <numFmt numFmtId="185" formatCode="#,##0\ &quot;Year(s)&quot;"/>
    <numFmt numFmtId="186" formatCode="&quot;Depreciation - New Capex: Year&quot;\ #,##0"/>
  </numFmts>
  <fonts count="3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0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Wingdings"/>
      <charset val="2"/>
    </font>
    <font>
      <sz val="9"/>
      <color theme="0" tint="-0.2499465926084170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rgb="FFFF0000"/>
      <name val="Arial"/>
      <family val="2"/>
    </font>
    <font>
      <sz val="9"/>
      <color theme="0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8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5" fillId="0" borderId="3" applyNumberFormat="0" applyAlignment="0">
      <alignment horizontal="center"/>
    </xf>
    <xf numFmtId="0" fontId="24" fillId="4" borderId="7" applyNumberFormat="0" applyAlignment="0">
      <protection locked="0"/>
    </xf>
    <xf numFmtId="0" fontId="3" fillId="0" borderId="0" applyNumberFormat="0" applyFill="0" applyBorder="0"/>
    <xf numFmtId="180" fontId="22" fillId="0" borderId="0" applyFill="0" applyBorder="0" applyProtection="0">
      <alignment horizontal="center"/>
    </xf>
    <xf numFmtId="179" fontId="23" fillId="0" borderId="0" applyFill="0" applyBorder="0" applyProtection="0">
      <alignment horizontal="center"/>
    </xf>
    <xf numFmtId="168" fontId="33" fillId="5" borderId="7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8" applyNumberFormat="0" applyAlignment="0"/>
    <xf numFmtId="41" fontId="1" fillId="0" borderId="9" applyNumberFormat="0" applyFont="0" applyFill="0" applyAlignment="0"/>
    <xf numFmtId="169" fontId="1" fillId="0" borderId="10" applyNumberFormat="0" applyFont="0" applyFill="0" applyAlignment="0" applyProtection="0"/>
    <xf numFmtId="0" fontId="6" fillId="0" borderId="0"/>
    <xf numFmtId="0" fontId="31" fillId="0" borderId="11" applyNumberFormat="0" applyFill="0" applyBorder="0"/>
    <xf numFmtId="169" fontId="1" fillId="0" borderId="0" applyFont="0" applyFill="0" applyBorder="0" applyAlignment="0" applyProtection="0"/>
    <xf numFmtId="0" fontId="22" fillId="7" borderId="2" applyNumberFormat="0" applyAlignment="0" applyProtection="0"/>
    <xf numFmtId="0" fontId="36" fillId="0" borderId="0" applyNumberFormat="0" applyFill="0" applyBorder="0" applyAlignment="0" applyProtection="0"/>
    <xf numFmtId="170" fontId="7" fillId="0" borderId="0" applyFill="0" applyBorder="0">
      <alignment horizontal="right" vertical="center"/>
    </xf>
    <xf numFmtId="171" fontId="7" fillId="0" borderId="0" applyFill="0" applyBorder="0">
      <alignment horizontal="right" vertical="center"/>
    </xf>
    <xf numFmtId="172" fontId="28" fillId="7" borderId="7">
      <alignment horizontal="center"/>
    </xf>
    <xf numFmtId="41" fontId="5" fillId="8" borderId="8" applyFont="0" applyAlignment="0"/>
    <xf numFmtId="0" fontId="12" fillId="10" borderId="0" applyNumberFormat="0">
      <alignment horizontal="center"/>
    </xf>
    <xf numFmtId="0" fontId="29" fillId="0" borderId="0" applyNumberFormat="0" applyFill="0" applyBorder="0" applyProtection="0"/>
    <xf numFmtId="0" fontId="30" fillId="9" borderId="12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3" applyNumberFormat="0" applyFill="0" applyAlignment="0" applyProtection="0"/>
    <xf numFmtId="0" fontId="18" fillId="0" borderId="14" applyNumberFormat="0" applyFill="0" applyAlignment="0" applyProtection="0"/>
    <xf numFmtId="0" fontId="17" fillId="0" borderId="15" applyNumberFormat="0" applyFill="0" applyAlignment="0" applyProtection="0"/>
    <xf numFmtId="173" fontId="15" fillId="3" borderId="1"/>
    <xf numFmtId="0" fontId="32" fillId="0" borderId="0" applyNumberFormat="0" applyFill="0"/>
  </cellStyleXfs>
  <cellXfs count="159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5" fillId="3" borderId="1" xfId="10"/>
    <xf numFmtId="0" fontId="16" fillId="0" borderId="0" xfId="11" applyBorder="1"/>
    <xf numFmtId="0" fontId="17" fillId="0" borderId="0" xfId="12"/>
    <xf numFmtId="0" fontId="25" fillId="0" borderId="3" xfId="13" applyAlignment="1">
      <alignment horizontal="center"/>
    </xf>
    <xf numFmtId="166" fontId="25" fillId="0" borderId="3" xfId="13" applyNumberFormat="1" applyAlignment="1">
      <alignment horizontal="center"/>
    </xf>
    <xf numFmtId="0" fontId="8" fillId="0" borderId="0" xfId="0" applyFont="1"/>
    <xf numFmtId="0" fontId="9" fillId="0" borderId="0" xfId="12" applyFont="1" applyAlignment="1">
      <alignment horizontal="left" vertical="center"/>
    </xf>
    <xf numFmtId="0" fontId="10" fillId="0" borderId="0" xfId="0" applyFont="1"/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26" fillId="0" borderId="0" xfId="8" applyAlignment="1">
      <alignment horizontal="right"/>
      <protection locked="0"/>
    </xf>
    <xf numFmtId="0" fontId="12" fillId="10" borderId="0" xfId="33">
      <alignment horizontal="center"/>
    </xf>
    <xf numFmtId="0" fontId="0" fillId="0" borderId="0" xfId="0" applyBorder="1"/>
    <xf numFmtId="0" fontId="13" fillId="0" borderId="0" xfId="7" applyBorder="1"/>
    <xf numFmtId="0" fontId="0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9" applyBorder="1"/>
    <xf numFmtId="0" fontId="0" fillId="0" borderId="0" xfId="0" applyBorder="1" applyAlignment="1">
      <alignment horizontal="left"/>
    </xf>
    <xf numFmtId="0" fontId="17" fillId="0" borderId="0" xfId="12" applyBorder="1"/>
    <xf numFmtId="0" fontId="18" fillId="0" borderId="0" xfId="6" applyBorder="1"/>
    <xf numFmtId="0" fontId="31" fillId="0" borderId="0" xfId="25" applyBorder="1"/>
    <xf numFmtId="0" fontId="12" fillId="10" borderId="0" xfId="33" applyBorder="1">
      <alignment horizontal="center"/>
    </xf>
    <xf numFmtId="0" fontId="24" fillId="4" borderId="7" xfId="14">
      <protection locked="0"/>
    </xf>
    <xf numFmtId="0" fontId="11" fillId="0" borderId="0" xfId="0" applyFont="1" applyBorder="1"/>
    <xf numFmtId="0" fontId="25" fillId="0" borderId="3" xfId="13" applyAlignment="1"/>
    <xf numFmtId="168" fontId="33" fillId="5" borderId="7" xfId="18"/>
    <xf numFmtId="164" fontId="2" fillId="2" borderId="2" xfId="19">
      <alignment horizontal="center"/>
      <protection locked="0"/>
    </xf>
    <xf numFmtId="0" fontId="27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2" fillId="7" borderId="2" xfId="27"/>
    <xf numFmtId="0" fontId="36" fillId="0" borderId="0" xfId="28"/>
    <xf numFmtId="172" fontId="28" fillId="7" borderId="7" xfId="31">
      <alignment horizontal="center"/>
    </xf>
    <xf numFmtId="41" fontId="0" fillId="8" borderId="8" xfId="32" applyFont="1"/>
    <xf numFmtId="0" fontId="29" fillId="0" borderId="0" xfId="34"/>
    <xf numFmtId="0" fontId="30" fillId="9" borderId="12" xfId="35">
      <protection locked="0"/>
    </xf>
    <xf numFmtId="169" fontId="0" fillId="0" borderId="0" xfId="26" applyFont="1"/>
    <xf numFmtId="9" fontId="0" fillId="0" borderId="0" xfId="5" applyFont="1"/>
    <xf numFmtId="0" fontId="0" fillId="0" borderId="0" xfId="0"/>
    <xf numFmtId="180" fontId="22" fillId="0" borderId="0" xfId="16">
      <alignment horizontal="center"/>
    </xf>
    <xf numFmtId="0" fontId="3" fillId="0" borderId="0" xfId="15"/>
    <xf numFmtId="164" fontId="15" fillId="3" borderId="1" xfId="10" applyNumberFormat="1" applyProtection="1">
      <protection locked="0"/>
    </xf>
    <xf numFmtId="165" fontId="15" fillId="3" borderId="1" xfId="10" applyNumberFormat="1"/>
    <xf numFmtId="0" fontId="0" fillId="0" borderId="0" xfId="0" applyBorder="1"/>
    <xf numFmtId="0" fontId="26" fillId="0" borderId="0" xfId="8">
      <alignment horizontal="left"/>
      <protection locked="0"/>
    </xf>
    <xf numFmtId="0" fontId="13" fillId="0" borderId="0" xfId="7"/>
    <xf numFmtId="0" fontId="14" fillId="0" borderId="0" xfId="9"/>
    <xf numFmtId="173" fontId="15" fillId="3" borderId="1" xfId="41"/>
    <xf numFmtId="41" fontId="24" fillId="4" borderId="7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2" fillId="0" borderId="0" xfId="16" applyNumberFormat="1" applyBorder="1">
      <alignment horizontal="center"/>
    </xf>
    <xf numFmtId="179" fontId="23" fillId="0" borderId="0" xfId="17" applyNumberFormat="1" applyBorder="1">
      <alignment horizontal="center"/>
    </xf>
    <xf numFmtId="167" fontId="0" fillId="0" borderId="0" xfId="0" applyNumberFormat="1"/>
    <xf numFmtId="178" fontId="25" fillId="0" borderId="3" xfId="13" applyNumberFormat="1">
      <alignment horizontal="center"/>
    </xf>
    <xf numFmtId="181" fontId="25" fillId="0" borderId="3" xfId="2" applyFont="1" applyBorder="1" applyAlignment="1"/>
    <xf numFmtId="0" fontId="26" fillId="0" borderId="0" xfId="8" applyAlignment="1">
      <protection locked="0"/>
    </xf>
    <xf numFmtId="0" fontId="0" fillId="0" borderId="0" xfId="0"/>
    <xf numFmtId="164" fontId="2" fillId="11" borderId="2" xfId="19" applyFill="1">
      <alignment horizontal="center"/>
      <protection locked="0"/>
    </xf>
    <xf numFmtId="0" fontId="0" fillId="0" borderId="0" xfId="0"/>
    <xf numFmtId="0" fontId="0" fillId="0" borderId="0" xfId="0"/>
    <xf numFmtId="0" fontId="26" fillId="0" borderId="0" xfId="8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179" fontId="23" fillId="0" borderId="0" xfId="17">
      <alignment horizontal="center"/>
    </xf>
    <xf numFmtId="0" fontId="23" fillId="0" borderId="0" xfId="0" applyFont="1"/>
    <xf numFmtId="169" fontId="23" fillId="0" borderId="10" xfId="26" applyFont="1" applyBorder="1"/>
    <xf numFmtId="169" fontId="23" fillId="0" borderId="16" xfId="26" applyFont="1" applyBorder="1"/>
    <xf numFmtId="181" fontId="0" fillId="0" borderId="0" xfId="2" applyFont="1"/>
    <xf numFmtId="181" fontId="0" fillId="0" borderId="0" xfId="2" applyFont="1" applyBorder="1"/>
    <xf numFmtId="181" fontId="23" fillId="0" borderId="10" xfId="2" applyFont="1" applyBorder="1"/>
    <xf numFmtId="181" fontId="23" fillId="0" borderId="16" xfId="2" applyFont="1" applyBorder="1"/>
    <xf numFmtId="0" fontId="16" fillId="0" borderId="0" xfId="11"/>
    <xf numFmtId="181" fontId="0" fillId="0" borderId="9" xfId="2" applyFont="1" applyBorder="1"/>
    <xf numFmtId="169" fontId="24" fillId="4" borderId="7" xfId="26" applyFont="1" applyFill="1" applyBorder="1" applyProtection="1">
      <protection locked="0"/>
    </xf>
    <xf numFmtId="168" fontId="33" fillId="5" borderId="7" xfId="18" applyAlignment="1">
      <alignment horizontal="center"/>
    </xf>
    <xf numFmtId="169" fontId="24" fillId="4" borderId="7" xfId="14" applyNumberFormat="1">
      <protection locked="0"/>
    </xf>
    <xf numFmtId="164" fontId="34" fillId="2" borderId="2" xfId="0" applyNumberFormat="1" applyFont="1" applyFill="1" applyBorder="1" applyAlignment="1" applyProtection="1">
      <alignment horizontal="center"/>
      <protection locked="0"/>
    </xf>
    <xf numFmtId="164" fontId="34" fillId="12" borderId="2" xfId="0" applyNumberFormat="1" applyFont="1" applyFill="1" applyBorder="1" applyAlignment="1" applyProtection="1">
      <alignment horizontal="center"/>
      <protection locked="0"/>
    </xf>
    <xf numFmtId="181" fontId="30" fillId="9" borderId="12" xfId="35" applyNumberFormat="1">
      <protection locked="0"/>
    </xf>
    <xf numFmtId="9" fontId="24" fillId="4" borderId="7" xfId="14" applyNumberFormat="1">
      <protection locked="0"/>
    </xf>
    <xf numFmtId="9" fontId="27" fillId="6" borderId="8" xfId="21" applyNumberFormat="1"/>
    <xf numFmtId="0" fontId="26" fillId="0" borderId="0" xfId="8">
      <alignment horizontal="left"/>
      <protection locked="0"/>
    </xf>
    <xf numFmtId="0" fontId="0" fillId="0" borderId="0" xfId="0"/>
    <xf numFmtId="0" fontId="12" fillId="10" borderId="0" xfId="33">
      <alignment horizontal="center"/>
    </xf>
    <xf numFmtId="169" fontId="27" fillId="6" borderId="8" xfId="26" applyFont="1" applyFill="1" applyBorder="1"/>
    <xf numFmtId="169" fontId="27" fillId="6" borderId="8" xfId="21" applyNumberFormat="1"/>
    <xf numFmtId="0" fontId="32" fillId="0" borderId="0" xfId="42"/>
    <xf numFmtId="169" fontId="23" fillId="0" borderId="17" xfId="26" applyFont="1" applyBorder="1"/>
    <xf numFmtId="0" fontId="0" fillId="0" borderId="0" xfId="0" applyFont="1"/>
    <xf numFmtId="9" fontId="27" fillId="6" borderId="8" xfId="5" applyFont="1" applyFill="1" applyBorder="1"/>
    <xf numFmtId="0" fontId="0" fillId="0" borderId="0" xfId="0"/>
    <xf numFmtId="9" fontId="24" fillId="4" borderId="7" xfId="5" applyFont="1" applyFill="1" applyBorder="1" applyProtection="1">
      <protection locked="0"/>
    </xf>
    <xf numFmtId="43" fontId="24" fillId="4" borderId="7" xfId="1" applyFont="1" applyFill="1" applyBorder="1" applyProtection="1">
      <protection locked="0"/>
    </xf>
    <xf numFmtId="181" fontId="24" fillId="4" borderId="7" xfId="2" applyFont="1" applyFill="1" applyBorder="1" applyProtection="1">
      <protection locked="0"/>
    </xf>
    <xf numFmtId="181" fontId="27" fillId="6" borderId="8" xfId="21" applyNumberFormat="1"/>
    <xf numFmtId="43" fontId="27" fillId="6" borderId="8" xfId="21" applyNumberFormat="1"/>
    <xf numFmtId="181" fontId="0" fillId="0" borderId="0" xfId="0" applyNumberFormat="1"/>
    <xf numFmtId="169" fontId="0" fillId="0" borderId="0" xfId="0" applyNumberFormat="1"/>
    <xf numFmtId="43" fontId="0" fillId="0" borderId="0" xfId="0" applyNumberFormat="1"/>
    <xf numFmtId="181" fontId="23" fillId="0" borderId="9" xfId="22" applyNumberFormat="1" applyFont="1"/>
    <xf numFmtId="181" fontId="23" fillId="0" borderId="9" xfId="2" applyFont="1" applyBorder="1"/>
    <xf numFmtId="9" fontId="0" fillId="0" borderId="0" xfId="0" applyNumberFormat="1"/>
    <xf numFmtId="181" fontId="23" fillId="0" borderId="18" xfId="2" applyFont="1" applyBorder="1"/>
    <xf numFmtId="0" fontId="35" fillId="0" borderId="0" xfId="42" applyFont="1"/>
    <xf numFmtId="168" fontId="33" fillId="5" borderId="7" xfId="18" applyFont="1"/>
    <xf numFmtId="0" fontId="29" fillId="0" borderId="0" xfId="34" applyFont="1"/>
    <xf numFmtId="15" fontId="24" fillId="4" borderId="7" xfId="14" applyNumberFormat="1">
      <protection locked="0"/>
    </xf>
    <xf numFmtId="0" fontId="24" fillId="4" borderId="7" xfId="14" applyAlignment="1">
      <alignment horizontal="center"/>
      <protection locked="0"/>
    </xf>
    <xf numFmtId="180" fontId="22" fillId="6" borderId="8" xfId="16" applyFill="1" applyBorder="1">
      <alignment horizontal="center"/>
    </xf>
    <xf numFmtId="180" fontId="22" fillId="7" borderId="2" xfId="16" applyFill="1" applyBorder="1">
      <alignment horizontal="center"/>
    </xf>
    <xf numFmtId="180" fontId="36" fillId="0" borderId="0" xfId="28" applyNumberFormat="1" applyAlignment="1">
      <alignment horizontal="center"/>
    </xf>
    <xf numFmtId="9" fontId="22" fillId="7" borderId="2" xfId="5" applyFont="1" applyFill="1" applyBorder="1"/>
    <xf numFmtId="0" fontId="0" fillId="0" borderId="0" xfId="0"/>
    <xf numFmtId="182" fontId="24" fillId="4" borderId="7" xfId="26" applyNumberFormat="1" applyFont="1" applyFill="1" applyBorder="1" applyProtection="1">
      <protection locked="0"/>
    </xf>
    <xf numFmtId="182" fontId="27" fillId="6" borderId="8" xfId="21" applyNumberFormat="1"/>
    <xf numFmtId="169" fontId="0" fillId="0" borderId="19" xfId="26" applyFont="1" applyBorder="1"/>
    <xf numFmtId="169" fontId="23" fillId="0" borderId="0" xfId="0" applyNumberFormat="1" applyFont="1"/>
    <xf numFmtId="0" fontId="23" fillId="0" borderId="0" xfId="12" applyFont="1"/>
    <xf numFmtId="0" fontId="22" fillId="0" borderId="0" xfId="0" applyFont="1"/>
    <xf numFmtId="41" fontId="22" fillId="0" borderId="0" xfId="0" applyNumberFormat="1" applyFont="1"/>
    <xf numFmtId="9" fontId="22" fillId="0" borderId="10" xfId="5" applyFont="1" applyBorder="1"/>
    <xf numFmtId="181" fontId="22" fillId="0" borderId="0" xfId="2" applyFont="1"/>
    <xf numFmtId="181" fontId="22" fillId="0" borderId="10" xfId="2" applyFont="1" applyBorder="1"/>
    <xf numFmtId="169" fontId="22" fillId="0" borderId="0" xfId="26" applyFont="1"/>
    <xf numFmtId="169" fontId="22" fillId="0" borderId="20" xfId="26" applyFont="1" applyBorder="1"/>
    <xf numFmtId="169" fontId="22" fillId="0" borderId="10" xfId="26" applyFont="1" applyBorder="1"/>
    <xf numFmtId="172" fontId="28" fillId="7" borderId="7" xfId="31" applyFont="1">
      <alignment horizontal="center"/>
    </xf>
    <xf numFmtId="183" fontId="24" fillId="4" borderId="7" xfId="14" applyNumberFormat="1" applyAlignment="1">
      <alignment horizontal="center"/>
      <protection locked="0"/>
    </xf>
    <xf numFmtId="41" fontId="37" fillId="0" borderId="0" xfId="25" applyNumberFormat="1" applyFont="1" applyFill="1" applyBorder="1"/>
    <xf numFmtId="181" fontId="33" fillId="5" borderId="7" xfId="2" applyFont="1" applyFill="1" applyBorder="1"/>
    <xf numFmtId="186" fontId="22" fillId="0" borderId="0" xfId="0" applyNumberFormat="1" applyFont="1" applyAlignment="1">
      <alignment horizontal="left"/>
    </xf>
    <xf numFmtId="181" fontId="22" fillId="8" borderId="8" xfId="2" applyFont="1" applyFill="1" applyBorder="1"/>
    <xf numFmtId="181" fontId="22" fillId="0" borderId="17" xfId="2" applyFont="1" applyBorder="1"/>
    <xf numFmtId="41" fontId="22" fillId="8" borderId="8" xfId="32" applyFont="1"/>
    <xf numFmtId="41" fontId="22" fillId="0" borderId="10" xfId="0" applyNumberFormat="1" applyFont="1" applyBorder="1"/>
    <xf numFmtId="41" fontId="22" fillId="0" borderId="20" xfId="0" applyNumberFormat="1" applyFont="1" applyBorder="1"/>
    <xf numFmtId="9" fontId="22" fillId="0" borderId="0" xfId="0" applyNumberFormat="1" applyFont="1"/>
    <xf numFmtId="181" fontId="22" fillId="0" borderId="20" xfId="2" applyFont="1" applyBorder="1"/>
    <xf numFmtId="184" fontId="27" fillId="6" borderId="8" xfId="21" applyNumberFormat="1"/>
    <xf numFmtId="185" fontId="27" fillId="6" borderId="8" xfId="21" applyNumberFormat="1"/>
    <xf numFmtId="0" fontId="26" fillId="0" borderId="0" xfId="8">
      <alignment horizontal="left"/>
      <protection locked="0"/>
    </xf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2" fillId="10" borderId="0" xfId="33">
      <alignment horizontal="center"/>
    </xf>
    <xf numFmtId="0" fontId="12" fillId="10" borderId="0" xfId="33" applyBorder="1">
      <alignment horizontal="center"/>
    </xf>
    <xf numFmtId="0" fontId="25" fillId="0" borderId="4" xfId="13" applyBorder="1" applyAlignment="1">
      <alignment horizontal="left"/>
    </xf>
    <xf numFmtId="0" fontId="25" fillId="0" borderId="5" xfId="13" applyBorder="1" applyAlignment="1">
      <alignment horizontal="left"/>
    </xf>
    <xf numFmtId="0" fontId="25" fillId="0" borderId="6" xfId="13" applyBorder="1" applyAlignment="1">
      <alignment horizontal="left"/>
    </xf>
    <xf numFmtId="0" fontId="24" fillId="4" borderId="7" xfId="14" applyAlignment="1">
      <alignment horizontal="left"/>
      <protection locked="0"/>
    </xf>
    <xf numFmtId="0" fontId="38" fillId="0" borderId="0" xfId="34" applyFont="1"/>
  </cellXfs>
  <cellStyles count="43">
    <cellStyle name="Accounts Ref" xfId="15"/>
    <cellStyle name="Assumption" xfId="14"/>
    <cellStyle name="Comma" xfId="1" builtinId="3"/>
    <cellStyle name="Comma [0]" xfId="2" builtinId="6" customBuiltin="1"/>
    <cellStyle name="Constraint" xfId="13"/>
    <cellStyle name="Currency" xfId="3" builtinId="4"/>
    <cellStyle name="Currency [0]" xfId="4" builtinId="7"/>
    <cellStyle name="Date" xfId="16"/>
    <cellStyle name="Date Heading" xfId="17"/>
    <cellStyle name="Empty" xfId="18"/>
    <cellStyle name="Error_Checks" xfId="19"/>
    <cellStyle name="Heading 1" xfId="37" builtinId="16" customBuiltin="1"/>
    <cellStyle name="Heading 1 Number" xfId="41"/>
    <cellStyle name="Heading 1 Text" xfId="10"/>
    <cellStyle name="Heading 2" xfId="38" builtinId="17" customBuiltin="1"/>
    <cellStyle name="Heading 2 Text" xfId="11"/>
    <cellStyle name="Heading 3" xfId="39" builtinId="18" customBuiltin="1"/>
    <cellStyle name="Heading 3 Text" xfId="12"/>
    <cellStyle name="Heading 4" xfId="6" builtinId="19" customBuiltin="1"/>
    <cellStyle name="Hyperlink" xfId="8" builtinId="8" customBuiltin="1"/>
    <cellStyle name="Hyperlink Text" xfId="20"/>
    <cellStyle name="Internal Ref" xfId="21"/>
    <cellStyle name="Line Calc" xfId="22"/>
    <cellStyle name="Line Total" xfId="23"/>
    <cellStyle name="Model Name" xfId="9"/>
    <cellStyle name="Normal" xfId="0" builtinId="0" customBuiltin="1"/>
    <cellStyle name="Normal 2" xfId="24"/>
    <cellStyle name="Notes" xfId="25"/>
    <cellStyle name="Numbers 0" xfId="26"/>
    <cellStyle name="Parameter" xfId="27"/>
    <cellStyle name="Percent" xfId="5" builtinId="5"/>
    <cellStyle name="Range Name Description" xfId="28"/>
    <cellStyle name="Right Currency" xfId="29"/>
    <cellStyle name="Right Number" xfId="30"/>
    <cellStyle name="Row Ref" xfId="31"/>
    <cellStyle name="Row_Summary" xfId="32"/>
    <cellStyle name="Sheet Title" xfId="7"/>
    <cellStyle name="Table_Heading" xfId="33"/>
    <cellStyle name="Title" xfId="36" builtinId="15" customBuiltin="1"/>
    <cellStyle name="Total" xfId="40" builtinId="25" customBuiltin="1"/>
    <cellStyle name="Unit" xfId="42"/>
    <cellStyle name="Units" xfId="34"/>
    <cellStyle name="WIP" xfId="35"/>
  </cellStyles>
  <dxfs count="30">
    <dxf>
      <numFmt numFmtId="167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;;;"/>
      <fill>
        <patternFill>
          <bgColor theme="0" tint="-0.34998626667073579"/>
        </patternFill>
      </fill>
    </dxf>
    <dxf>
      <numFmt numFmtId="168" formatCode=";;;"/>
      <fill>
        <patternFill>
          <bgColor theme="0" tint="-0.34998626667073579"/>
        </patternFill>
      </fill>
    </dxf>
    <dxf>
      <numFmt numFmtId="168" formatCode=";;;"/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>
      <tableStyleElement type="headerRow" dxfId="29"/>
      <tableStyleElement type="firstRowStripe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6</xdr:col>
      <xdr:colOff>144780</xdr:colOff>
      <xdr:row>12</xdr:row>
      <xdr:rowOff>14564</xdr:rowOff>
    </xdr:to>
    <xdr:pic>
      <xdr:nvPicPr>
        <xdr:cNvPr id="3" name="Picture 2" descr="http://www.thepoke.co.uk/wp-content/uploads/2016/11/blog-excel-logo.png">
          <a:extLst>
            <a:ext uri="{FF2B5EF4-FFF2-40B4-BE49-F238E27FC236}">
              <a16:creationId xmlns="" xmlns:a16="http://schemas.microsoft.com/office/drawing/2014/main" id="{E467C914-4534-4828-9EE3-6821F73E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249680"/>
          <a:ext cx="1699260" cy="898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ChangeLog" displayName="ChangeLog" ref="F10:K13" totalsRowShown="0" headerRowCellStyle="Table_Heading">
  <autoFilter ref="F10:K13"/>
  <tableColumns count="6">
    <tableColumn id="1" name="Date" dataCellStyle="Date"/>
    <tableColumn id="2" name="Model Version "/>
    <tableColumn id="3" name="Details of change"/>
    <tableColumn id="4" name="Worksheet Reference"/>
    <tableColumn id="5" name="Row, column, cell reference" dataDxfId="0"/>
    <tableColumn id="6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S21"/>
  <sheetViews>
    <sheetView showGridLines="0" tabSelected="1" zoomScaleNormal="100" workbookViewId="0"/>
  </sheetViews>
  <sheetFormatPr defaultRowHeight="11.5" x14ac:dyDescent="0.25"/>
  <cols>
    <col min="3" max="4" width="3.69921875" customWidth="1"/>
  </cols>
  <sheetData>
    <row r="3" spans="1:19" x14ac:dyDescent="0.25">
      <c r="A3" s="147" t="s">
        <v>1</v>
      </c>
    </row>
    <row r="5" spans="1:19" ht="20" x14ac:dyDescent="0.4">
      <c r="C5" s="48" t="str">
        <f>Client_Name</f>
        <v>Go Skills Financial Modeling Training</v>
      </c>
      <c r="D5" s="8"/>
      <c r="E5" s="8"/>
      <c r="F5" s="8"/>
      <c r="G5" s="8"/>
      <c r="H5" s="8"/>
      <c r="I5" s="8"/>
      <c r="J5" s="8"/>
    </row>
    <row r="6" spans="1:19" ht="17.5" x14ac:dyDescent="0.35">
      <c r="C6" s="49" t="str">
        <f ca="1">Model_Name</f>
        <v>Go Skills Model 47 - Taxation Part 4 Start.xlsm</v>
      </c>
      <c r="D6" s="8"/>
      <c r="E6" s="8"/>
      <c r="F6" s="8"/>
      <c r="G6" s="8"/>
      <c r="H6" s="8"/>
      <c r="I6" s="8"/>
      <c r="J6" s="8"/>
    </row>
    <row r="7" spans="1:19" ht="13" x14ac:dyDescent="0.3">
      <c r="C7" s="8"/>
      <c r="D7" s="8"/>
      <c r="E7" s="8"/>
      <c r="F7" s="8"/>
      <c r="G7" s="8"/>
      <c r="H7" s="8"/>
      <c r="I7" s="8"/>
      <c r="J7" s="8"/>
    </row>
    <row r="8" spans="1:19" ht="13" x14ac:dyDescent="0.3">
      <c r="D8" s="8"/>
      <c r="E8" s="8"/>
      <c r="F8" s="8"/>
      <c r="G8" s="8"/>
      <c r="H8" s="8"/>
      <c r="I8" s="8"/>
      <c r="J8" s="8"/>
    </row>
    <row r="9" spans="1:19" ht="13" x14ac:dyDescent="0.3">
      <c r="C9" s="8"/>
      <c r="D9" s="8"/>
      <c r="E9" s="8"/>
      <c r="F9" s="8"/>
      <c r="G9" s="8"/>
      <c r="H9" s="8"/>
      <c r="I9" s="8"/>
      <c r="J9" s="8"/>
    </row>
    <row r="10" spans="1:19" ht="13" x14ac:dyDescent="0.3">
      <c r="C10" s="8"/>
      <c r="D10" s="8"/>
      <c r="E10" s="8"/>
      <c r="F10" s="8"/>
      <c r="G10" s="8"/>
      <c r="H10" s="8"/>
      <c r="I10" s="8"/>
      <c r="J10" s="8"/>
    </row>
    <row r="11" spans="1:19" ht="14.5" x14ac:dyDescent="0.35">
      <c r="C11" s="8"/>
      <c r="D11" s="8"/>
      <c r="E11" s="8"/>
      <c r="F11" s="8"/>
      <c r="G11" s="8"/>
      <c r="H11" s="8"/>
      <c r="I11" s="8"/>
      <c r="J11" s="8"/>
      <c r="S11" s="43"/>
    </row>
    <row r="12" spans="1:19" ht="13" x14ac:dyDescent="0.3">
      <c r="C12" s="8"/>
      <c r="D12" s="8"/>
      <c r="E12" s="8"/>
      <c r="F12" s="8"/>
      <c r="G12" s="8"/>
      <c r="H12" s="8"/>
      <c r="I12" s="8"/>
      <c r="J12" s="8"/>
    </row>
    <row r="13" spans="1:19" ht="13" x14ac:dyDescent="0.3">
      <c r="C13" s="8"/>
      <c r="D13" s="8"/>
      <c r="E13" s="8"/>
      <c r="F13" s="8"/>
      <c r="G13" s="8"/>
      <c r="H13" s="8"/>
      <c r="I13" s="8"/>
      <c r="J13" s="8"/>
    </row>
    <row r="14" spans="1:19" ht="13" x14ac:dyDescent="0.3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3" x14ac:dyDescent="0.3">
      <c r="C15" s="10"/>
      <c r="D15" s="10"/>
      <c r="E15" s="8"/>
      <c r="F15" s="8"/>
      <c r="G15" s="8"/>
      <c r="H15" s="8"/>
      <c r="I15" s="8"/>
      <c r="J15" s="8"/>
    </row>
    <row r="16" spans="1:19" ht="13" x14ac:dyDescent="0.3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3" x14ac:dyDescent="0.25">
      <c r="C17" s="148" t="s">
        <v>133</v>
      </c>
      <c r="D17" s="148"/>
      <c r="E17" s="148"/>
      <c r="F17" s="148"/>
      <c r="G17" s="148"/>
      <c r="H17" s="148"/>
      <c r="I17" s="148"/>
      <c r="J17" s="148"/>
    </row>
    <row r="18" spans="3:10" ht="13" x14ac:dyDescent="0.25">
      <c r="C18" s="148"/>
      <c r="D18" s="148"/>
      <c r="E18" s="148"/>
      <c r="F18" s="148"/>
      <c r="G18" s="148"/>
      <c r="H18" s="148"/>
      <c r="I18" s="148"/>
      <c r="J18" s="148"/>
    </row>
    <row r="19" spans="3:10" ht="13" x14ac:dyDescent="0.3">
      <c r="C19" s="11"/>
      <c r="D19" s="10"/>
      <c r="E19" s="8"/>
      <c r="F19" s="8"/>
      <c r="G19" s="8"/>
      <c r="H19" s="8"/>
      <c r="I19" s="8"/>
      <c r="J19" s="8"/>
    </row>
    <row r="20" spans="3:10" ht="13" x14ac:dyDescent="0.3">
      <c r="C20" s="11"/>
      <c r="D20" s="10"/>
      <c r="E20" s="8"/>
      <c r="F20" s="8"/>
      <c r="G20" s="8"/>
      <c r="H20" s="8"/>
      <c r="I20" s="8"/>
      <c r="J20" s="8"/>
    </row>
    <row r="21" spans="3:10" ht="13" x14ac:dyDescent="0.3">
      <c r="C21" s="11" t="s">
        <v>21</v>
      </c>
      <c r="D21" s="10"/>
      <c r="E21" s="8"/>
      <c r="F21" s="8"/>
      <c r="G21" s="149" t="s">
        <v>134</v>
      </c>
      <c r="H21" s="149"/>
      <c r="I21" s="149"/>
      <c r="J21" s="8"/>
    </row>
  </sheetData>
  <mergeCells count="3">
    <mergeCell ref="C17:J17"/>
    <mergeCell ref="C18:J18"/>
    <mergeCell ref="G21:I21"/>
  </mergeCells>
  <hyperlinks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/>
    <pageSetUpPr fitToPage="1"/>
  </sheetPr>
  <dimension ref="A1:P38"/>
  <sheetViews>
    <sheetView zoomScaleNormal="100" workbookViewId="0">
      <pane ySplit="9" topLeftCell="A23" activePane="bottomLeft" state="frozen"/>
      <selection activeCell="D42" sqref="D42"/>
      <selection pane="bottomLeft" activeCell="J25" sqref="J25:N25"/>
    </sheetView>
  </sheetViews>
  <sheetFormatPr defaultColWidth="9.09765625" defaultRowHeight="11.5" x14ac:dyDescent="0.25"/>
  <cols>
    <col min="1" max="5" width="3.69921875" style="68" customWidth="1"/>
    <col min="6" max="6" width="34.59765625" style="68" customWidth="1"/>
    <col min="7" max="7" width="12.69921875" style="68" customWidth="1"/>
    <col min="8" max="8" width="2" style="68" customWidth="1"/>
    <col min="9" max="9" width="9.09765625" style="68"/>
    <col min="10" max="14" width="10.69921875" style="68" customWidth="1"/>
    <col min="15" max="16384" width="9.09765625" style="68"/>
  </cols>
  <sheetData>
    <row r="1" spans="1:16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Cash Flow Statement</v>
      </c>
      <c r="I1" s="61"/>
      <c r="J1" s="61"/>
    </row>
    <row r="2" spans="1:16" ht="17.5" x14ac:dyDescent="0.35">
      <c r="A2" s="49" t="str">
        <f ca="1">Model_Name</f>
        <v>Go Skills Model 47 - Taxation Part 4 Start.xlsm</v>
      </c>
    </row>
    <row r="3" spans="1:16" x14ac:dyDescent="0.25">
      <c r="A3" s="147" t="s">
        <v>1</v>
      </c>
      <c r="B3" s="61"/>
      <c r="C3" s="61"/>
      <c r="D3" s="61"/>
      <c r="E3" s="61"/>
    </row>
    <row r="4" spans="1:16" ht="14" x14ac:dyDescent="0.3">
      <c r="B4" s="68" t="s">
        <v>2</v>
      </c>
      <c r="G4" s="1">
        <f ca="1">Overall_Error_Check</f>
        <v>0</v>
      </c>
    </row>
    <row r="5" spans="1:16" x14ac:dyDescent="0.25">
      <c r="J5" s="70">
        <f>Timing!J5</f>
        <v>44012</v>
      </c>
      <c r="K5" s="70">
        <f>Timing!K5</f>
        <v>44377</v>
      </c>
      <c r="L5" s="70">
        <f>Timing!L5</f>
        <v>44742</v>
      </c>
      <c r="M5" s="70">
        <f>Timing!M5</f>
        <v>45107</v>
      </c>
      <c r="N5" s="70">
        <f>Timing!N5</f>
        <v>45473</v>
      </c>
    </row>
    <row r="6" spans="1:16" x14ac:dyDescent="0.25">
      <c r="C6" s="68" t="s">
        <v>68</v>
      </c>
      <c r="J6" s="42">
        <f>Timing!J6</f>
        <v>43647</v>
      </c>
      <c r="K6" s="42">
        <f>Timing!K6</f>
        <v>44013</v>
      </c>
      <c r="L6" s="42">
        <f>Timing!L6</f>
        <v>44378</v>
      </c>
      <c r="M6" s="42">
        <f>Timing!M6</f>
        <v>44743</v>
      </c>
      <c r="N6" s="42">
        <f>Timing!N6</f>
        <v>45108</v>
      </c>
    </row>
    <row r="7" spans="1:16" x14ac:dyDescent="0.25">
      <c r="C7" s="68" t="s">
        <v>69</v>
      </c>
      <c r="J7" s="42">
        <f>Timing!J7</f>
        <v>44012</v>
      </c>
      <c r="K7" s="42">
        <f>Timing!K7</f>
        <v>44377</v>
      </c>
      <c r="L7" s="42">
        <f>Timing!L7</f>
        <v>44742</v>
      </c>
      <c r="M7" s="42">
        <f>Timing!M7</f>
        <v>45107</v>
      </c>
      <c r="N7" s="42">
        <f>Timing!N7</f>
        <v>45473</v>
      </c>
    </row>
    <row r="8" spans="1:16" x14ac:dyDescent="0.25">
      <c r="C8" s="68" t="s">
        <v>71</v>
      </c>
      <c r="J8" s="68">
        <f>Timing!J8</f>
        <v>366</v>
      </c>
      <c r="K8" s="68">
        <f>Timing!K8</f>
        <v>365</v>
      </c>
      <c r="L8" s="68">
        <f>Timing!L8</f>
        <v>365</v>
      </c>
      <c r="M8" s="68">
        <f>Timing!M8</f>
        <v>365</v>
      </c>
      <c r="N8" s="68">
        <f>Timing!N8</f>
        <v>366</v>
      </c>
    </row>
    <row r="9" spans="1:16" x14ac:dyDescent="0.25">
      <c r="C9" s="68" t="s">
        <v>70</v>
      </c>
      <c r="J9" s="68">
        <f>Timing!J9</f>
        <v>1</v>
      </c>
      <c r="K9" s="68">
        <f>Timing!K9</f>
        <v>2</v>
      </c>
      <c r="L9" s="68">
        <f>Timing!L9</f>
        <v>3</v>
      </c>
      <c r="M9" s="68">
        <f>Timing!M9</f>
        <v>4</v>
      </c>
      <c r="N9" s="68">
        <f>Timing!N9</f>
        <v>5</v>
      </c>
    </row>
    <row r="11" spans="1:16" ht="16" thickBot="1" x14ac:dyDescent="0.4">
      <c r="B11" s="50">
        <f>MAX($B$10:$B10)+1</f>
        <v>1</v>
      </c>
      <c r="C11" s="44" t="str">
        <f ca="1">A1</f>
        <v>Cash Flow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2" thickTop="1" x14ac:dyDescent="0.25"/>
    <row r="13" spans="1:16" ht="16.5" x14ac:dyDescent="0.35">
      <c r="C13" s="78" t="s">
        <v>180</v>
      </c>
      <c r="P13" s="23"/>
    </row>
    <row r="15" spans="1:16" ht="14" x14ac:dyDescent="0.3">
      <c r="D15" s="5" t="s">
        <v>181</v>
      </c>
    </row>
    <row r="16" spans="1:16" x14ac:dyDescent="0.25">
      <c r="E16" s="68" t="s">
        <v>182</v>
      </c>
      <c r="G16" s="37" t="str">
        <f t="shared" ref="G16:G22" si="0">Currency</f>
        <v>US$'000</v>
      </c>
      <c r="J16" s="74">
        <f>-Calculations!J37</f>
        <v>1254.0983606557377</v>
      </c>
      <c r="K16" s="74">
        <f>-Calculations!K37</f>
        <v>2827.9564338648102</v>
      </c>
      <c r="L16" s="74">
        <f>-Calculations!L37</f>
        <v>4535.9506849315076</v>
      </c>
      <c r="M16" s="74">
        <f>-Calculations!M37</f>
        <v>6431.602191780823</v>
      </c>
      <c r="N16" s="74">
        <f>-Calculations!N37</f>
        <v>8585.3185910622051</v>
      </c>
    </row>
    <row r="17" spans="4:14" x14ac:dyDescent="0.25">
      <c r="F17" s="68" t="s">
        <v>183</v>
      </c>
      <c r="G17" s="37" t="str">
        <f t="shared" si="0"/>
        <v>US$'000</v>
      </c>
      <c r="J17" s="74">
        <f>Calculations!J63+Calculations!J90</f>
        <v>-1804.5245901639344</v>
      </c>
      <c r="K17" s="74">
        <f>Calculations!K63+Calculations!K90</f>
        <v>-4318.5815742196273</v>
      </c>
      <c r="L17" s="74">
        <f>Calculations!L63+Calculations!L90</f>
        <v>-2455.891780821918</v>
      </c>
      <c r="M17" s="74">
        <f>Calculations!M63+Calculations!M90</f>
        <v>-4056.6767123287673</v>
      </c>
      <c r="N17" s="74">
        <f>Calculations!N63+Calculations!N90</f>
        <v>-7300.3357949247711</v>
      </c>
    </row>
    <row r="18" spans="4:14" x14ac:dyDescent="0.25">
      <c r="F18" s="68" t="s">
        <v>184</v>
      </c>
      <c r="G18" s="37" t="str">
        <f t="shared" si="0"/>
        <v>US$'000</v>
      </c>
      <c r="J18" s="74">
        <f>Calculations!J167</f>
        <v>-60</v>
      </c>
      <c r="K18" s="74">
        <f>Calculations!K167</f>
        <v>-65</v>
      </c>
      <c r="L18" s="74">
        <f>Calculations!L167</f>
        <v>-70</v>
      </c>
      <c r="M18" s="74">
        <f>Calculations!M167</f>
        <v>-72.100000000000009</v>
      </c>
      <c r="N18" s="74">
        <f>Calculations!N167</f>
        <v>-73.542000000000016</v>
      </c>
    </row>
    <row r="19" spans="4:14" x14ac:dyDescent="0.25">
      <c r="E19" s="68" t="s">
        <v>185</v>
      </c>
      <c r="G19" s="37" t="str">
        <f t="shared" si="0"/>
        <v>US$'000</v>
      </c>
      <c r="J19" s="79">
        <f>SUM(J17:J18)</f>
        <v>-1864.5245901639344</v>
      </c>
      <c r="K19" s="79">
        <f t="shared" ref="K19:N19" si="1">SUM(K17:K18)</f>
        <v>-4383.5815742196273</v>
      </c>
      <c r="L19" s="79">
        <f t="shared" si="1"/>
        <v>-2525.891780821918</v>
      </c>
      <c r="M19" s="79">
        <f t="shared" si="1"/>
        <v>-4128.7767123287676</v>
      </c>
      <c r="N19" s="79">
        <f t="shared" si="1"/>
        <v>-7373.8777949247715</v>
      </c>
    </row>
    <row r="20" spans="4:14" x14ac:dyDescent="0.25">
      <c r="E20" s="68" t="s">
        <v>186</v>
      </c>
      <c r="G20" s="37" t="str">
        <f t="shared" si="0"/>
        <v>US$'000</v>
      </c>
      <c r="J20" s="74">
        <f>Calculations!J235</f>
        <v>0</v>
      </c>
      <c r="K20" s="74">
        <f>Calculations!K235</f>
        <v>0</v>
      </c>
      <c r="L20" s="74">
        <f>Calculations!L235</f>
        <v>-1.4000000000000001</v>
      </c>
      <c r="M20" s="74">
        <f>Calculations!M235</f>
        <v>-2.8</v>
      </c>
      <c r="N20" s="74">
        <f>Calculations!N235</f>
        <v>-2</v>
      </c>
    </row>
    <row r="21" spans="4:14" x14ac:dyDescent="0.25">
      <c r="E21" s="68" t="s">
        <v>187</v>
      </c>
      <c r="G21" s="37" t="str">
        <f t="shared" si="0"/>
        <v>US$'000</v>
      </c>
      <c r="J21" s="74"/>
      <c r="K21" s="74"/>
      <c r="L21" s="74"/>
      <c r="M21" s="74"/>
      <c r="N21" s="74"/>
    </row>
    <row r="22" spans="4:14" x14ac:dyDescent="0.25">
      <c r="E22" s="71" t="s">
        <v>188</v>
      </c>
      <c r="G22" s="37" t="str">
        <f t="shared" si="0"/>
        <v>US$'000</v>
      </c>
      <c r="J22" s="76">
        <f>SUM(J19:J21,J16)</f>
        <v>-610.42622950819668</v>
      </c>
      <c r="K22" s="76">
        <f t="shared" ref="K22:N22" si="2">SUM(K19:K21,K16)</f>
        <v>-1555.6251403548172</v>
      </c>
      <c r="L22" s="76">
        <f t="shared" si="2"/>
        <v>2008.6589041095895</v>
      </c>
      <c r="M22" s="76">
        <f t="shared" si="2"/>
        <v>2300.0254794520552</v>
      </c>
      <c r="N22" s="76">
        <f t="shared" si="2"/>
        <v>1209.4407961374336</v>
      </c>
    </row>
    <row r="23" spans="4:14" x14ac:dyDescent="0.25">
      <c r="G23" s="37"/>
    </row>
    <row r="24" spans="4:14" ht="14" x14ac:dyDescent="0.3">
      <c r="D24" s="5" t="s">
        <v>189</v>
      </c>
      <c r="G24" s="37"/>
    </row>
    <row r="25" spans="4:14" x14ac:dyDescent="0.25">
      <c r="E25" s="68" t="s">
        <v>190</v>
      </c>
      <c r="G25" s="37" t="str">
        <f>Currency</f>
        <v>US$'000</v>
      </c>
      <c r="J25" s="74">
        <f>-Calculations!J255</f>
        <v>0</v>
      </c>
      <c r="K25" s="74">
        <f>-Calculations!K255</f>
        <v>-2.6005938818652163</v>
      </c>
      <c r="L25" s="74">
        <f>-Calculations!L255</f>
        <v>-13.456046448894959</v>
      </c>
      <c r="M25" s="74">
        <f>-Calculations!M255</f>
        <v>-18.092035597657031</v>
      </c>
      <c r="N25" s="74">
        <f>-Calculations!N255</f>
        <v>1.668939405158401</v>
      </c>
    </row>
    <row r="26" spans="4:14" x14ac:dyDescent="0.25">
      <c r="E26" s="68" t="s">
        <v>191</v>
      </c>
      <c r="G26" s="37" t="str">
        <f>Currency</f>
        <v>US$'000</v>
      </c>
      <c r="J26" s="74">
        <f>-Calculations!J198</f>
        <v>-150</v>
      </c>
      <c r="K26" s="74">
        <f>-Calculations!K198</f>
        <v>-180</v>
      </c>
      <c r="L26" s="74">
        <f>-Calculations!L198</f>
        <v>-120</v>
      </c>
      <c r="M26" s="74">
        <f>-Calculations!M198</f>
        <v>-90</v>
      </c>
      <c r="N26" s="74">
        <f>-Calculations!N198</f>
        <v>-100</v>
      </c>
    </row>
    <row r="27" spans="4:14" x14ac:dyDescent="0.25">
      <c r="E27" s="71" t="s">
        <v>192</v>
      </c>
      <c r="G27" s="37" t="str">
        <f>Currency</f>
        <v>US$'000</v>
      </c>
      <c r="J27" s="76">
        <f>SUM(J25:J26)</f>
        <v>-150</v>
      </c>
      <c r="K27" s="76">
        <f t="shared" ref="K27:N27" si="3">SUM(K25:K26)</f>
        <v>-182.60059388186522</v>
      </c>
      <c r="L27" s="76">
        <f t="shared" si="3"/>
        <v>-133.45604644889497</v>
      </c>
      <c r="M27" s="76">
        <f t="shared" si="3"/>
        <v>-108.09203559765703</v>
      </c>
      <c r="N27" s="76">
        <f t="shared" si="3"/>
        <v>-98.331060594841603</v>
      </c>
    </row>
    <row r="28" spans="4:14" x14ac:dyDescent="0.25">
      <c r="G28" s="37"/>
    </row>
    <row r="29" spans="4:14" ht="14" x14ac:dyDescent="0.3">
      <c r="D29" s="5" t="s">
        <v>193</v>
      </c>
      <c r="G29" s="37"/>
    </row>
    <row r="30" spans="4:14" x14ac:dyDescent="0.25">
      <c r="E30" s="68" t="s">
        <v>194</v>
      </c>
      <c r="G30" s="37" t="str">
        <f t="shared" ref="G30:G35" si="4">Currency</f>
        <v>US$'000</v>
      </c>
      <c r="J30" s="74">
        <f>Calculations!J215</f>
        <v>20</v>
      </c>
      <c r="K30" s="74">
        <f>Calculations!K215</f>
        <v>20</v>
      </c>
      <c r="L30" s="74">
        <f>Calculations!L215</f>
        <v>0</v>
      </c>
      <c r="M30" s="74">
        <f>Calculations!M215</f>
        <v>0</v>
      </c>
      <c r="N30" s="74">
        <f>Calculations!N215</f>
        <v>0</v>
      </c>
    </row>
    <row r="31" spans="4:14" x14ac:dyDescent="0.25">
      <c r="E31" s="68" t="s">
        <v>195</v>
      </c>
      <c r="G31" s="37" t="str">
        <f t="shared" si="4"/>
        <v>US$'000</v>
      </c>
      <c r="J31" s="74">
        <f>Calculations!J216</f>
        <v>0</v>
      </c>
      <c r="K31" s="74">
        <f>Calculations!K216</f>
        <v>0</v>
      </c>
      <c r="L31" s="74">
        <f>Calculations!L216</f>
        <v>-15</v>
      </c>
      <c r="M31" s="74">
        <f>Calculations!M216</f>
        <v>-25</v>
      </c>
      <c r="N31" s="74">
        <f>Calculations!N216</f>
        <v>-10</v>
      </c>
    </row>
    <row r="32" spans="4:14" x14ac:dyDescent="0.25">
      <c r="E32" s="68" t="s">
        <v>196</v>
      </c>
      <c r="G32" s="37" t="str">
        <f t="shared" si="4"/>
        <v>US$'000</v>
      </c>
      <c r="J32" s="74"/>
      <c r="K32" s="74"/>
      <c r="L32" s="74"/>
      <c r="M32" s="74"/>
      <c r="N32" s="74"/>
    </row>
    <row r="33" spans="4:14" x14ac:dyDescent="0.25">
      <c r="E33" s="68" t="s">
        <v>197</v>
      </c>
      <c r="G33" s="37" t="str">
        <f t="shared" si="4"/>
        <v>US$'000</v>
      </c>
      <c r="J33" s="74"/>
      <c r="K33" s="74"/>
      <c r="L33" s="74"/>
      <c r="M33" s="74"/>
      <c r="N33" s="74"/>
    </row>
    <row r="34" spans="4:14" x14ac:dyDescent="0.25">
      <c r="E34" s="68" t="s">
        <v>198</v>
      </c>
      <c r="G34" s="37" t="str">
        <f t="shared" si="4"/>
        <v>US$'000</v>
      </c>
      <c r="J34" s="74"/>
      <c r="K34" s="74"/>
      <c r="L34" s="74"/>
      <c r="M34" s="74"/>
      <c r="N34" s="74"/>
    </row>
    <row r="35" spans="4:14" x14ac:dyDescent="0.25">
      <c r="E35" s="71" t="s">
        <v>199</v>
      </c>
      <c r="G35" s="37" t="str">
        <f t="shared" si="4"/>
        <v>US$'000</v>
      </c>
      <c r="J35" s="76">
        <f>SUM(J30:J34)</f>
        <v>20</v>
      </c>
      <c r="K35" s="76">
        <f t="shared" ref="K35:N35" si="5">SUM(K30:K34)</f>
        <v>20</v>
      </c>
      <c r="L35" s="76">
        <f t="shared" si="5"/>
        <v>-15</v>
      </c>
      <c r="M35" s="76">
        <f t="shared" si="5"/>
        <v>-25</v>
      </c>
      <c r="N35" s="76">
        <f t="shared" si="5"/>
        <v>-10</v>
      </c>
    </row>
    <row r="36" spans="4:14" x14ac:dyDescent="0.25">
      <c r="G36" s="37"/>
    </row>
    <row r="37" spans="4:14" ht="14.5" thickBot="1" x14ac:dyDescent="0.35">
      <c r="D37" s="5" t="s">
        <v>200</v>
      </c>
      <c r="G37" s="37" t="str">
        <f>Currency</f>
        <v>US$'000</v>
      </c>
      <c r="J37" s="77">
        <f>J35+J27+J22</f>
        <v>-740.42622950819668</v>
      </c>
      <c r="K37" s="77">
        <f t="shared" ref="K37:N37" si="6">K35+K27+K22</f>
        <v>-1718.2257342366825</v>
      </c>
      <c r="L37" s="77">
        <f t="shared" si="6"/>
        <v>1860.2028576606945</v>
      </c>
      <c r="M37" s="77">
        <f t="shared" si="6"/>
        <v>2166.9334438543983</v>
      </c>
      <c r="N37" s="77">
        <f t="shared" si="6"/>
        <v>1101.109735542592</v>
      </c>
    </row>
    <row r="38" spans="4:14" ht="12" thickTop="1" x14ac:dyDescent="0.25"/>
  </sheetData>
  <conditionalFormatting sqref="G4">
    <cfRule type="cellIs" dxfId="9" priority="1" operator="notEqual">
      <formula>0</formula>
    </cfRule>
  </conditionalFormatting>
  <hyperlinks>
    <hyperlink ref="G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15"/>
  <sheetViews>
    <sheetView workbookViewId="0">
      <pane ySplit="4" topLeftCell="A5" activePane="bottomLeft" state="frozen"/>
      <selection activeCell="D42" sqref="D42"/>
      <selection pane="bottomLeft" activeCell="F20" sqref="F20"/>
    </sheetView>
  </sheetViews>
  <sheetFormatPr defaultColWidth="9.09765625" defaultRowHeight="11.5" x14ac:dyDescent="0.25"/>
  <cols>
    <col min="1" max="3" width="3.69921875" style="89" customWidth="1"/>
    <col min="4" max="4" width="18" style="89" customWidth="1"/>
    <col min="5" max="5" width="3.69921875" style="89" customWidth="1"/>
    <col min="6" max="6" width="16.3984375" style="89" customWidth="1"/>
    <col min="7" max="7" width="27" style="89" customWidth="1"/>
    <col min="8" max="8" width="21.59765625" style="89" customWidth="1"/>
    <col min="9" max="9" width="24.3984375" style="89" customWidth="1"/>
    <col min="10" max="10" width="30.296875" style="89" customWidth="1"/>
    <col min="11" max="11" width="26.69921875" style="89" customWidth="1"/>
    <col min="12" max="16384" width="9.09765625" style="89"/>
  </cols>
  <sheetData>
    <row r="1" spans="1:12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Lookup</v>
      </c>
      <c r="I1" s="61"/>
      <c r="J1" s="61"/>
      <c r="K1" s="88"/>
    </row>
    <row r="2" spans="1:12" ht="17.5" x14ac:dyDescent="0.35">
      <c r="A2" s="49" t="str">
        <f ca="1">Model_Name</f>
        <v>Go Skills Model 47 - Taxation Part 4 Start.xlsm</v>
      </c>
    </row>
    <row r="3" spans="1:12" x14ac:dyDescent="0.25">
      <c r="A3" s="147" t="s">
        <v>1</v>
      </c>
      <c r="B3" s="61"/>
      <c r="C3" s="61"/>
      <c r="D3" s="61"/>
      <c r="E3" s="61"/>
    </row>
    <row r="4" spans="1:12" ht="14" x14ac:dyDescent="0.3">
      <c r="B4" s="89" t="s">
        <v>2</v>
      </c>
      <c r="F4" s="1">
        <f ca="1">Overall_Error_Check</f>
        <v>0</v>
      </c>
    </row>
    <row r="6" spans="1:12" ht="16" thickBot="1" x14ac:dyDescent="0.4">
      <c r="B6" s="50">
        <f>MAX($B$5:$B5)+1</f>
        <v>1</v>
      </c>
      <c r="C6" s="3" t="str">
        <f ca="1">A1</f>
        <v>Lookup</v>
      </c>
      <c r="D6" s="3"/>
      <c r="E6" s="3"/>
      <c r="F6" s="3"/>
      <c r="G6" s="3"/>
      <c r="H6" s="3"/>
      <c r="I6" s="3"/>
      <c r="J6" s="3"/>
      <c r="K6" s="3"/>
      <c r="L6" s="3"/>
    </row>
    <row r="7" spans="1:12" ht="12" thickTop="1" x14ac:dyDescent="0.25"/>
    <row r="8" spans="1:12" ht="16.5" x14ac:dyDescent="0.35">
      <c r="C8" s="4" t="s">
        <v>255</v>
      </c>
    </row>
    <row r="9" spans="1:12" x14ac:dyDescent="0.25">
      <c r="F9" s="42"/>
    </row>
    <row r="10" spans="1:12" x14ac:dyDescent="0.25">
      <c r="D10" s="90" t="s">
        <v>256</v>
      </c>
      <c r="F10" s="42"/>
    </row>
    <row r="11" spans="1:12" ht="12" x14ac:dyDescent="0.3">
      <c r="D11" s="116">
        <f ca="1">OFFSET(Timing!$J$7,,ROWS($C$11:$C11))</f>
        <v>44377</v>
      </c>
      <c r="F11" s="117" t="s">
        <v>256</v>
      </c>
    </row>
    <row r="12" spans="1:12" x14ac:dyDescent="0.25">
      <c r="D12" s="116">
        <f ca="1">OFFSET(Timing!$J$7,,ROWS($C$11:$C12))</f>
        <v>44742</v>
      </c>
    </row>
    <row r="13" spans="1:12" x14ac:dyDescent="0.25">
      <c r="D13" s="116">
        <f ca="1">OFFSET(Timing!$J$7,,ROWS($C$11:$C13))</f>
        <v>45107</v>
      </c>
    </row>
    <row r="14" spans="1:12" x14ac:dyDescent="0.25">
      <c r="D14" s="116">
        <f ca="1">OFFSET(Timing!$J$7,,ROWS($C$11:$C14))</f>
        <v>45473</v>
      </c>
    </row>
    <row r="15" spans="1:12" x14ac:dyDescent="0.25">
      <c r="D15" s="114" t="s">
        <v>257</v>
      </c>
    </row>
  </sheetData>
  <conditionalFormatting sqref="F4">
    <cfRule type="cellIs" dxfId="8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/>
    <pageSetUpPr fitToPage="1"/>
  </sheetPr>
  <dimension ref="A1:O23"/>
  <sheetViews>
    <sheetView showGridLines="0" zoomScaleNormal="100" workbookViewId="0">
      <pane ySplit="9" topLeftCell="A10" activePane="bottomLeft" state="frozen"/>
      <selection activeCell="D42" sqref="D42"/>
      <selection pane="bottomLeft" activeCell="K7" sqref="K7:N7"/>
    </sheetView>
  </sheetViews>
  <sheetFormatPr defaultRowHeight="11.5" x14ac:dyDescent="0.25"/>
  <cols>
    <col min="1" max="5" width="3.69921875" customWidth="1"/>
    <col min="7" max="7" width="22.09765625" customWidth="1"/>
    <col min="8" max="8" width="10.69921875" customWidth="1"/>
    <col min="10" max="14" width="10.69921875" customWidth="1"/>
  </cols>
  <sheetData>
    <row r="1" spans="1:15" s="41" customFormat="1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Timing</v>
      </c>
      <c r="I1" s="61"/>
      <c r="J1" s="61"/>
    </row>
    <row r="2" spans="1:15" s="41" customFormat="1" ht="17.5" x14ac:dyDescent="0.35">
      <c r="A2" s="49" t="str">
        <f ca="1">Model_Name</f>
        <v>Go Skills Model 47 - Taxation Part 4 Start.xlsm</v>
      </c>
    </row>
    <row r="3" spans="1:15" s="41" customFormat="1" x14ac:dyDescent="0.25">
      <c r="A3" s="147" t="s">
        <v>1</v>
      </c>
      <c r="B3" s="61"/>
      <c r="C3" s="61"/>
      <c r="D3" s="61"/>
      <c r="E3" s="61"/>
    </row>
    <row r="4" spans="1:15" s="41" customFormat="1" ht="14" x14ac:dyDescent="0.3">
      <c r="B4" s="41" t="s">
        <v>2</v>
      </c>
      <c r="F4" s="1">
        <f ca="1">Overall_Error_Check</f>
        <v>0</v>
      </c>
    </row>
    <row r="5" spans="1:15" s="2" customFormat="1" x14ac:dyDescent="0.25">
      <c r="J5" s="70">
        <f>J7</f>
        <v>44012</v>
      </c>
      <c r="K5" s="70">
        <f t="shared" ref="K5:N5" si="0">K7</f>
        <v>44377</v>
      </c>
      <c r="L5" s="70">
        <f t="shared" si="0"/>
        <v>44742</v>
      </c>
      <c r="M5" s="70">
        <f t="shared" si="0"/>
        <v>45107</v>
      </c>
      <c r="N5" s="70">
        <f t="shared" si="0"/>
        <v>45473</v>
      </c>
    </row>
    <row r="6" spans="1:15" s="41" customFormat="1" x14ac:dyDescent="0.25">
      <c r="C6" s="2" t="s">
        <v>68</v>
      </c>
      <c r="I6" s="67"/>
      <c r="J6" s="42">
        <f>IF(J$9=1,Model_Start_Date,I7+1)</f>
        <v>43647</v>
      </c>
      <c r="K6" s="42">
        <f>IF(K$9=1,Model_Start_Date,J7+1)</f>
        <v>44013</v>
      </c>
      <c r="L6" s="42">
        <f>IF(L$9=1,Model_Start_Date,K7+1)</f>
        <v>44378</v>
      </c>
      <c r="M6" s="42">
        <f>IF(M$9=1,Model_Start_Date,L7+1)</f>
        <v>44743</v>
      </c>
      <c r="N6" s="42">
        <f>IF(N$9=1,Model_Start_Date,M7+1)</f>
        <v>45108</v>
      </c>
    </row>
    <row r="7" spans="1:15" s="41" customFormat="1" x14ac:dyDescent="0.25">
      <c r="C7" s="2" t="s">
        <v>69</v>
      </c>
      <c r="I7" s="67"/>
      <c r="J7" s="42">
        <f>EOMONTH(J$6,MOD(Periodicity+Reporting_Month_Factor-MONTH(J$6),Periodicity))</f>
        <v>44012</v>
      </c>
      <c r="K7" s="42">
        <f>EOMONTH(K$6,MOD(Periodicity+Reporting_Month_Factor-MONTH(K$6),Periodicity))</f>
        <v>44377</v>
      </c>
      <c r="L7" s="42">
        <f>EOMONTH(L$6,MOD(Periodicity+Reporting_Month_Factor-MONTH(L$6),Periodicity))</f>
        <v>44742</v>
      </c>
      <c r="M7" s="42">
        <f>EOMONTH(M$6,MOD(Periodicity+Reporting_Month_Factor-MONTH(M$6),Periodicity))</f>
        <v>45107</v>
      </c>
      <c r="N7" s="42">
        <f>EOMONTH(N$6,MOD(Periodicity+Reporting_Month_Factor-MONTH(N$6),Periodicity))</f>
        <v>45473</v>
      </c>
    </row>
    <row r="8" spans="1:15" s="41" customFormat="1" x14ac:dyDescent="0.25">
      <c r="C8" s="2" t="s">
        <v>71</v>
      </c>
      <c r="I8" s="67"/>
      <c r="J8" s="67">
        <f>J7-J6+1</f>
        <v>366</v>
      </c>
      <c r="K8" s="68">
        <f t="shared" ref="K8:N8" si="1">K7-K6+1</f>
        <v>365</v>
      </c>
      <c r="L8" s="68">
        <f t="shared" si="1"/>
        <v>365</v>
      </c>
      <c r="M8" s="68">
        <f t="shared" si="1"/>
        <v>365</v>
      </c>
      <c r="N8" s="68">
        <f t="shared" si="1"/>
        <v>366</v>
      </c>
    </row>
    <row r="9" spans="1:15" s="41" customFormat="1" ht="12" x14ac:dyDescent="0.3">
      <c r="C9" s="2" t="s">
        <v>70</v>
      </c>
      <c r="I9" s="28"/>
      <c r="J9" s="67">
        <f>N(I9)+1</f>
        <v>1</v>
      </c>
      <c r="K9" s="68">
        <f t="shared" ref="K9:N9" si="2">N(J9)+1</f>
        <v>2</v>
      </c>
      <c r="L9" s="68">
        <f t="shared" si="2"/>
        <v>3</v>
      </c>
      <c r="M9" s="68">
        <f t="shared" si="2"/>
        <v>4</v>
      </c>
      <c r="N9" s="68">
        <f t="shared" si="2"/>
        <v>5</v>
      </c>
    </row>
    <row r="10" spans="1:15" s="41" customFormat="1" x14ac:dyDescent="0.25"/>
    <row r="11" spans="1:15" s="41" customFormat="1" ht="16" thickBot="1" x14ac:dyDescent="0.4">
      <c r="B11" s="50">
        <f>MAX($B$10:$B10)+1</f>
        <v>1</v>
      </c>
      <c r="C11" s="44" t="s">
        <v>72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41" customFormat="1" ht="12" thickTop="1" x14ac:dyDescent="0.25"/>
    <row r="13" spans="1:15" s="41" customFormat="1" ht="16.5" x14ac:dyDescent="0.35">
      <c r="C13" s="4" t="s">
        <v>73</v>
      </c>
    </row>
    <row r="15" spans="1:15" x14ac:dyDescent="0.25">
      <c r="D15" t="s">
        <v>74</v>
      </c>
      <c r="H15" s="59">
        <v>43647</v>
      </c>
    </row>
    <row r="17" spans="4:9" x14ac:dyDescent="0.25">
      <c r="D17" t="s">
        <v>75</v>
      </c>
      <c r="H17" s="51">
        <v>12</v>
      </c>
    </row>
    <row r="19" spans="4:9" x14ac:dyDescent="0.25">
      <c r="D19" t="s">
        <v>76</v>
      </c>
      <c r="H19" s="51">
        <v>6</v>
      </c>
      <c r="I19" s="23" t="str">
        <f>"e.g. "&amp;TEXT(DATE(YEAR(Model_Start_Date)+IF(Example_Reporting_Month&lt;MONTH(Model_Start_Date),1,0),Example_Reporting_Month+1,1)-1,"dd-Mmm-yy")</f>
        <v>e.g. 30-Jun-20</v>
      </c>
    </row>
    <row r="21" spans="4:9" x14ac:dyDescent="0.25">
      <c r="D21" t="s">
        <v>77</v>
      </c>
      <c r="H21" s="39">
        <f>MOD(Example_Reporting_Month-1,Periodicity)+1</f>
        <v>6</v>
      </c>
    </row>
    <row r="23" spans="4:9" x14ac:dyDescent="0.25">
      <c r="D23" t="s">
        <v>78</v>
      </c>
      <c r="H23" s="60">
        <f>Months_in_Year</f>
        <v>12</v>
      </c>
    </row>
  </sheetData>
  <conditionalFormatting sqref="F4">
    <cfRule type="cellIs" dxfId="7" priority="1" operator="notEqual">
      <formula>0</formula>
    </cfRule>
  </conditionalFormatting>
  <dataValidations count="2">
    <dataValidation type="list" allowBlank="1" showInputMessage="1" showErrorMessage="1" sqref="H17">
      <formula1>"1,2,3,4,6,12"</formula1>
    </dataValidation>
    <dataValidation type="list" allowBlank="1" showInputMessage="1" showErrorMessage="1" sqref="H19">
      <formula1>"1,2,3,4,5,6,7,8,9,10,11,12"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/>
    <pageSetUpPr fitToPage="1"/>
  </sheetPr>
  <dimension ref="A1:R27"/>
  <sheetViews>
    <sheetView showGridLines="0" workbookViewId="0">
      <pane ySplit="4" topLeftCell="A7" activePane="bottomLeft" state="frozen"/>
      <selection activeCell="D42" sqref="D42"/>
      <selection pane="bottomLeft" activeCell="I25" sqref="I25"/>
    </sheetView>
  </sheetViews>
  <sheetFormatPr defaultColWidth="0" defaultRowHeight="11.5" outlineLevelRow="1" x14ac:dyDescent="0.25"/>
  <cols>
    <col min="1" max="5" width="3.69921875" customWidth="1"/>
    <col min="6" max="7" width="10.69921875" customWidth="1"/>
    <col min="8" max="8" width="14.296875" customWidth="1"/>
    <col min="9" max="12" width="9.09765625" customWidth="1"/>
    <col min="13" max="18" width="0" hidden="1" customWidth="1"/>
    <col min="19" max="16384" width="9.09765625" hidden="1"/>
  </cols>
  <sheetData>
    <row r="1" spans="1:11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Error Checks</v>
      </c>
      <c r="I1" s="149"/>
      <c r="J1" s="149"/>
    </row>
    <row r="2" spans="1:11" ht="17.5" x14ac:dyDescent="0.35">
      <c r="A2" s="49" t="str">
        <f ca="1">Model_Name</f>
        <v>Go Skills Model 47 - Taxation Part 4 Start.xlsm</v>
      </c>
    </row>
    <row r="3" spans="1:11" x14ac:dyDescent="0.25">
      <c r="A3" s="147" t="s">
        <v>1</v>
      </c>
      <c r="B3" s="61"/>
      <c r="C3" s="61"/>
      <c r="D3" s="61"/>
      <c r="E3" s="61"/>
    </row>
    <row r="4" spans="1:11" ht="14" x14ac:dyDescent="0.3">
      <c r="B4" t="s">
        <v>2</v>
      </c>
      <c r="F4" s="1">
        <f ca="1">Overall_Error_Check</f>
        <v>0</v>
      </c>
    </row>
    <row r="6" spans="1:11" ht="16" thickBot="1" x14ac:dyDescent="0.4">
      <c r="B6" s="50">
        <f>MAX($B$5:$B5)+1</f>
        <v>1</v>
      </c>
      <c r="C6" s="3" t="s">
        <v>63</v>
      </c>
      <c r="D6" s="3"/>
      <c r="E6" s="3"/>
      <c r="F6" s="3"/>
      <c r="G6" s="3"/>
      <c r="H6" s="3"/>
      <c r="I6" s="3"/>
      <c r="J6" s="3"/>
      <c r="K6" s="3"/>
    </row>
    <row r="7" spans="1:11" ht="12" outlineLevel="1" thickTop="1" x14ac:dyDescent="0.25"/>
    <row r="8" spans="1:11" ht="16.5" outlineLevel="1" x14ac:dyDescent="0.35">
      <c r="C8" s="4" t="s">
        <v>64</v>
      </c>
    </row>
    <row r="9" spans="1:11" ht="16.5" outlineLevel="1" x14ac:dyDescent="0.35">
      <c r="C9" s="4"/>
    </row>
    <row r="10" spans="1:11" ht="16.5" outlineLevel="1" x14ac:dyDescent="0.35">
      <c r="C10" s="4"/>
      <c r="D10" s="5" t="s">
        <v>65</v>
      </c>
    </row>
    <row r="11" spans="1:11" outlineLevel="1" x14ac:dyDescent="0.25"/>
    <row r="12" spans="1:11" s="62" customFormat="1" ht="14" outlineLevel="1" x14ac:dyDescent="0.3">
      <c r="E12" s="62" t="s">
        <v>211</v>
      </c>
      <c r="I12" s="63">
        <f ca="1">HL_BS_Errors</f>
        <v>0</v>
      </c>
    </row>
    <row r="13" spans="1:11" s="62" customFormat="1" ht="14" outlineLevel="1" x14ac:dyDescent="0.3">
      <c r="E13" s="67" t="s">
        <v>212</v>
      </c>
      <c r="F13" s="67"/>
      <c r="G13" s="67"/>
      <c r="H13" s="67"/>
      <c r="I13" s="63">
        <f ca="1">HL_BS_Balance</f>
        <v>0</v>
      </c>
    </row>
    <row r="14" spans="1:11" s="62" customFormat="1" ht="14" outlineLevel="1" x14ac:dyDescent="0.3">
      <c r="E14" s="67" t="s">
        <v>213</v>
      </c>
      <c r="F14" s="67"/>
      <c r="G14" s="67"/>
      <c r="H14" s="67"/>
      <c r="I14" s="63">
        <f ca="1">HL_BS_Insolvency</f>
        <v>0</v>
      </c>
    </row>
    <row r="15" spans="1:11" ht="14" outlineLevel="1" x14ac:dyDescent="0.3">
      <c r="E15" s="67" t="s">
        <v>214</v>
      </c>
      <c r="F15" s="67"/>
      <c r="G15" s="67"/>
      <c r="H15" s="67"/>
      <c r="I15" s="63">
        <f>HL_Op_BS_Errors</f>
        <v>0</v>
      </c>
    </row>
    <row r="16" spans="1:11" ht="14" outlineLevel="1" x14ac:dyDescent="0.3">
      <c r="E16" s="67" t="s">
        <v>215</v>
      </c>
      <c r="F16" s="67"/>
      <c r="G16" s="67"/>
      <c r="H16" s="67"/>
      <c r="I16" s="63">
        <f>HL_Op_BS_Balance</f>
        <v>0</v>
      </c>
    </row>
    <row r="17" spans="5:9" s="62" customFormat="1" ht="14" outlineLevel="1" x14ac:dyDescent="0.3">
      <c r="E17" s="67" t="s">
        <v>216</v>
      </c>
      <c r="F17" s="67"/>
      <c r="G17" s="67"/>
      <c r="H17" s="67"/>
      <c r="I17" s="63">
        <f>HL_Op_BS_Insolvency</f>
        <v>0</v>
      </c>
    </row>
    <row r="18" spans="5:9" s="62" customFormat="1" outlineLevel="1" x14ac:dyDescent="0.25">
      <c r="E18" s="67"/>
      <c r="F18" s="67"/>
      <c r="G18" s="67"/>
      <c r="H18" s="67"/>
      <c r="I18" s="67"/>
    </row>
    <row r="19" spans="5:9" s="62" customFormat="1" outlineLevel="1" x14ac:dyDescent="0.25">
      <c r="E19" s="67"/>
      <c r="F19" s="67"/>
      <c r="G19" s="67"/>
      <c r="H19" s="67"/>
      <c r="I19" s="67"/>
    </row>
    <row r="20" spans="5:9" s="62" customFormat="1" outlineLevel="1" x14ac:dyDescent="0.25"/>
    <row r="21" spans="5:9" s="62" customFormat="1" outlineLevel="1" x14ac:dyDescent="0.25"/>
    <row r="22" spans="5:9" outlineLevel="1" x14ac:dyDescent="0.25"/>
    <row r="23" spans="5:9" outlineLevel="1" x14ac:dyDescent="0.25"/>
    <row r="24" spans="5:9" outlineLevel="1" x14ac:dyDescent="0.25"/>
    <row r="25" spans="5:9" ht="14" outlineLevel="1" x14ac:dyDescent="0.3">
      <c r="E25" s="5" t="str">
        <f>C8</f>
        <v>Summary of Errors</v>
      </c>
      <c r="I25" s="1">
        <f ca="1">MIN(1,SUM(I11:I23))</f>
        <v>0</v>
      </c>
    </row>
    <row r="26" spans="5:9" outlineLevel="1" x14ac:dyDescent="0.25"/>
    <row r="27" spans="5:9" outlineLevel="1" x14ac:dyDescent="0.25"/>
  </sheetData>
  <mergeCells count="1">
    <mergeCell ref="I1:J1"/>
  </mergeCells>
  <conditionalFormatting sqref="I25 F4">
    <cfRule type="cellIs" dxfId="6" priority="11" operator="notEqual">
      <formula>0</formula>
    </cfRule>
  </conditionalFormatting>
  <conditionalFormatting sqref="I12:I13">
    <cfRule type="cellIs" dxfId="5" priority="6" operator="notEqual">
      <formula>0</formula>
    </cfRule>
  </conditionalFormatting>
  <conditionalFormatting sqref="I12:I13">
    <cfRule type="cellIs" dxfId="4" priority="5" operator="notEqual">
      <formula>0</formula>
    </cfRule>
  </conditionalFormatting>
  <conditionalFormatting sqref="I14:I17">
    <cfRule type="cellIs" dxfId="3" priority="2" operator="notEqual">
      <formula>0</formula>
    </cfRule>
  </conditionalFormatting>
  <conditionalFormatting sqref="I14:I17">
    <cfRule type="cellIs" dxfId="2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  <hyperlink ref="I12" location="HL_BS_Errors" display="HL_BS_Errors"/>
    <hyperlink ref="I13" location="HL_BS_Balance" display="HL_BS_Balance"/>
    <hyperlink ref="I14" location="HL_BS_Insolvency" display="HL_BS_Insolvency"/>
    <hyperlink ref="I15:I17" location="HL_BS_Insolvency" display="HL_BS_Insolvency"/>
    <hyperlink ref="I15" location="HL_Op_BS_Errors" display="HL_Op_BS_Errors"/>
    <hyperlink ref="I16" location="HL_Op_BS_Balance" display="HL_Op_BS_Balance"/>
    <hyperlink ref="I17" location="HL_Op_BS_Insolvency" display="HL_Op_BS_Insolvency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2"/>
  <sheetViews>
    <sheetView showGridLines="0" workbookViewId="0">
      <pane ySplit="4" topLeftCell="A5" activePane="bottomLeft" state="frozen"/>
      <selection activeCell="D42" sqref="D42"/>
      <selection pane="bottomLeft" activeCell="A5" sqref="A5"/>
    </sheetView>
  </sheetViews>
  <sheetFormatPr defaultRowHeight="11.5" outlineLevelRow="1" x14ac:dyDescent="0.25"/>
  <cols>
    <col min="1" max="5" width="3.69921875" customWidth="1"/>
    <col min="6" max="6" width="11.09765625" customWidth="1"/>
    <col min="7" max="7" width="27" customWidth="1"/>
    <col min="8" max="8" width="21.59765625" customWidth="1"/>
    <col min="9" max="9" width="24.3984375" customWidth="1"/>
    <col min="10" max="10" width="30.296875" customWidth="1"/>
    <col min="11" max="11" width="26.69921875" style="2" customWidth="1"/>
  </cols>
  <sheetData>
    <row r="1" spans="1:12" s="2" customFormat="1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Change Log</v>
      </c>
      <c r="I1" s="61"/>
      <c r="J1" s="61"/>
      <c r="K1" s="47"/>
    </row>
    <row r="2" spans="1:12" s="2" customFormat="1" ht="17.5" x14ac:dyDescent="0.35">
      <c r="A2" s="49" t="str">
        <f ca="1">Model_Name</f>
        <v>Go Skills Model 47 - Taxation Part 4 Start.xlsm</v>
      </c>
    </row>
    <row r="3" spans="1:12" s="2" customFormat="1" x14ac:dyDescent="0.25">
      <c r="A3" s="147" t="s">
        <v>1</v>
      </c>
      <c r="B3" s="61"/>
      <c r="C3" s="61"/>
      <c r="D3" s="61"/>
      <c r="E3" s="61"/>
    </row>
    <row r="4" spans="1:12" s="2" customFormat="1" ht="14" x14ac:dyDescent="0.3">
      <c r="B4" s="2" t="s">
        <v>2</v>
      </c>
      <c r="F4" s="1">
        <f ca="1">Overall_Error_Check</f>
        <v>0</v>
      </c>
    </row>
    <row r="5" spans="1:12" s="2" customFormat="1" x14ac:dyDescent="0.25"/>
    <row r="6" spans="1:12" s="2" customFormat="1" ht="16" thickBot="1" x14ac:dyDescent="0.4">
      <c r="B6" s="50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" outlineLevel="1" thickTop="1" x14ac:dyDescent="0.25"/>
    <row r="8" spans="1:12" s="2" customFormat="1" ht="16.5" outlineLevel="1" x14ac:dyDescent="0.35">
      <c r="C8" s="4" t="s">
        <v>84</v>
      </c>
    </row>
    <row r="10" spans="1:12" x14ac:dyDescent="0.25">
      <c r="F10" s="14" t="s">
        <v>59</v>
      </c>
      <c r="G10" s="14" t="s">
        <v>80</v>
      </c>
      <c r="H10" s="14" t="s">
        <v>81</v>
      </c>
      <c r="I10" s="14" t="s">
        <v>82</v>
      </c>
      <c r="J10" s="14" t="s">
        <v>83</v>
      </c>
      <c r="K10" s="14" t="s">
        <v>86</v>
      </c>
    </row>
    <row r="11" spans="1:12" x14ac:dyDescent="0.25">
      <c r="F11" s="42">
        <v>43647</v>
      </c>
      <c r="G11" t="s">
        <v>136</v>
      </c>
      <c r="H11" s="2" t="s">
        <v>85</v>
      </c>
      <c r="I11" s="2" t="s">
        <v>79</v>
      </c>
      <c r="J11" s="58" t="s">
        <v>141</v>
      </c>
      <c r="K11" s="2" t="s">
        <v>87</v>
      </c>
    </row>
    <row r="12" spans="1:12" x14ac:dyDescent="0.25">
      <c r="F12" s="42">
        <v>43647</v>
      </c>
      <c r="G12" s="67" t="s">
        <v>137</v>
      </c>
      <c r="H12" t="s">
        <v>88</v>
      </c>
      <c r="I12" t="s">
        <v>63</v>
      </c>
      <c r="J12" s="58" t="s">
        <v>139</v>
      </c>
      <c r="K12" s="2" t="s">
        <v>87</v>
      </c>
    </row>
    <row r="13" spans="1:12" x14ac:dyDescent="0.25">
      <c r="F13" s="42">
        <v>43647</v>
      </c>
      <c r="G13" s="67" t="s">
        <v>138</v>
      </c>
      <c r="H13" t="s">
        <v>89</v>
      </c>
      <c r="I13" t="s">
        <v>1</v>
      </c>
      <c r="J13" s="58" t="s">
        <v>140</v>
      </c>
      <c r="K13" s="2" t="s">
        <v>90</v>
      </c>
    </row>
    <row r="14" spans="1:12" x14ac:dyDescent="0.25">
      <c r="F14" s="42"/>
    </row>
    <row r="15" spans="1:12" x14ac:dyDescent="0.25">
      <c r="F15" s="42"/>
    </row>
    <row r="16" spans="1:12" x14ac:dyDescent="0.25">
      <c r="F16" s="42"/>
    </row>
    <row r="17" spans="6:6" x14ac:dyDescent="0.25">
      <c r="F17" s="42"/>
    </row>
    <row r="18" spans="6:6" x14ac:dyDescent="0.25">
      <c r="F18" s="42"/>
    </row>
    <row r="19" spans="6:6" x14ac:dyDescent="0.25">
      <c r="F19" s="42"/>
    </row>
    <row r="20" spans="6:6" x14ac:dyDescent="0.25">
      <c r="F20" s="42"/>
    </row>
    <row r="21" spans="6:6" x14ac:dyDescent="0.25">
      <c r="F21" s="42"/>
    </row>
    <row r="22" spans="6:6" x14ac:dyDescent="0.25">
      <c r="F22" s="42"/>
    </row>
  </sheetData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scale="8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24"/>
  <sheetViews>
    <sheetView showGridLines="0" zoomScaleNormal="100" workbookViewId="0">
      <pane ySplit="4" topLeftCell="A5" activePane="bottomLeft" state="frozen"/>
      <selection activeCell="D42" sqref="D42"/>
      <selection pane="bottomLeft" activeCell="A5" sqref="A5"/>
    </sheetView>
  </sheetViews>
  <sheetFormatPr defaultRowHeight="11.5" x14ac:dyDescent="0.25"/>
  <cols>
    <col min="1" max="5" width="3.69921875" customWidth="1"/>
    <col min="6" max="6" width="17.69921875" customWidth="1"/>
  </cols>
  <sheetData>
    <row r="1" spans="1:24" ht="20" x14ac:dyDescent="0.4">
      <c r="A1" s="48" t="s">
        <v>1</v>
      </c>
      <c r="F1" s="13"/>
      <c r="G1" s="13"/>
    </row>
    <row r="2" spans="1:24" ht="17.5" x14ac:dyDescent="0.35">
      <c r="A2" s="49" t="str">
        <f ca="1">Model_Name</f>
        <v>Go Skills Model 47 - Taxation Part 4 Start.xlsm</v>
      </c>
    </row>
    <row r="3" spans="1:24" x14ac:dyDescent="0.25">
      <c r="A3" s="12" t="s">
        <v>1</v>
      </c>
      <c r="B3" s="12"/>
      <c r="C3" s="12"/>
      <c r="D3" s="12"/>
      <c r="E3" s="12"/>
    </row>
    <row r="4" spans="1:24" ht="14" x14ac:dyDescent="0.3">
      <c r="E4" t="s">
        <v>2</v>
      </c>
      <c r="G4" s="29">
        <f ca="1">Overall_Error_Check</f>
        <v>0</v>
      </c>
    </row>
    <row r="7" spans="1:24" ht="16" thickBot="1" x14ac:dyDescent="0.4">
      <c r="B7" s="50">
        <v>1</v>
      </c>
      <c r="C7" s="50" t="s">
        <v>22</v>
      </c>
      <c r="D7" s="50"/>
      <c r="E7" s="50"/>
      <c r="F7" s="50"/>
      <c r="G7" s="50"/>
      <c r="H7" s="50"/>
      <c r="I7" s="50"/>
      <c r="J7" s="50"/>
      <c r="K7" s="50"/>
      <c r="L7" s="5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 thickTop="1" x14ac:dyDescent="0.25"/>
    <row r="9" spans="1:24" x14ac:dyDescent="0.25">
      <c r="F9" s="147" t="s">
        <v>23</v>
      </c>
    </row>
    <row r="10" spans="1:24" x14ac:dyDescent="0.25">
      <c r="F10" s="147" t="s">
        <v>24</v>
      </c>
    </row>
    <row r="11" spans="1:24" x14ac:dyDescent="0.25">
      <c r="F11" s="147" t="s">
        <v>0</v>
      </c>
    </row>
    <row r="12" spans="1:24" x14ac:dyDescent="0.25">
      <c r="F12" s="147" t="s">
        <v>65</v>
      </c>
    </row>
    <row r="13" spans="1:24" x14ac:dyDescent="0.25">
      <c r="F13" s="147" t="s">
        <v>218</v>
      </c>
    </row>
    <row r="14" spans="1:24" x14ac:dyDescent="0.25">
      <c r="F14" s="147" t="s">
        <v>206</v>
      </c>
    </row>
    <row r="15" spans="1:24" x14ac:dyDescent="0.25">
      <c r="F15" s="147" t="s">
        <v>98</v>
      </c>
    </row>
    <row r="16" spans="1:24" x14ac:dyDescent="0.25">
      <c r="F16" s="147" t="s">
        <v>99</v>
      </c>
    </row>
    <row r="17" spans="6:6" x14ac:dyDescent="0.25">
      <c r="F17" s="147" t="s">
        <v>100</v>
      </c>
    </row>
    <row r="18" spans="6:6" x14ac:dyDescent="0.25">
      <c r="F18" s="147" t="s">
        <v>261</v>
      </c>
    </row>
    <row r="19" spans="6:6" x14ac:dyDescent="0.25">
      <c r="F19" s="147" t="s">
        <v>67</v>
      </c>
    </row>
    <row r="20" spans="6:6" x14ac:dyDescent="0.25">
      <c r="F20" s="147" t="s">
        <v>63</v>
      </c>
    </row>
    <row r="21" spans="6:6" x14ac:dyDescent="0.25">
      <c r="F21" s="147" t="s">
        <v>79</v>
      </c>
    </row>
    <row r="22" spans="6:6" x14ac:dyDescent="0.25">
      <c r="F22" s="66"/>
    </row>
    <row r="23" spans="6:6" x14ac:dyDescent="0.25">
      <c r="F23" s="66"/>
    </row>
    <row r="24" spans="6:6" x14ac:dyDescent="0.25">
      <c r="F24" s="66"/>
    </row>
  </sheetData>
  <hyperlinks>
    <hyperlink ref="A3:E3" location="HL_Navigator" tooltip="Go to Navigator (Table of Contents)" display="Navigator"/>
    <hyperlink ref="F9" location="HL_1" display="Cover"/>
    <hyperlink ref="F10" location="HL_3" display="Style Guide"/>
    <hyperlink ref="F11" location="HL_4" display="Model Parameters"/>
    <hyperlink ref="F12" location="HL_5" display="Assumptions"/>
    <hyperlink ref="F13" location="HL_6" display="Calculations"/>
    <hyperlink ref="F14" location="HL_7" display="Opening Balance Sheet"/>
    <hyperlink ref="F15" location="HL_8" display="Income Statement"/>
    <hyperlink ref="F16" location="HL_9" display="Balance Sheet"/>
    <hyperlink ref="F17" location="HL_10" display="Cash Flow Statement"/>
    <hyperlink ref="F18" location="HL_11" display="Lookup"/>
    <hyperlink ref="F19" location="HL_12" display="Timing"/>
    <hyperlink ref="F20" location="HL_13" display="Error Checks"/>
    <hyperlink ref="F21" location="HL_14" display="Change Log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/>
    <pageSetUpPr fitToPage="1"/>
  </sheetPr>
  <dimension ref="A1:O81"/>
  <sheetViews>
    <sheetView showGridLines="0" zoomScaleNormal="100" workbookViewId="0">
      <pane ySplit="4" topLeftCell="A5" activePane="bottomLeft" state="frozen"/>
      <selection activeCell="D42" sqref="D42"/>
      <selection pane="bottomLeft" activeCell="A5" sqref="A5"/>
    </sheetView>
  </sheetViews>
  <sheetFormatPr defaultColWidth="0" defaultRowHeight="11.5" outlineLevelRow="1" x14ac:dyDescent="0.25"/>
  <cols>
    <col min="1" max="5" width="3.69921875" customWidth="1"/>
    <col min="6" max="7" width="9.09765625" customWidth="1"/>
    <col min="8" max="8" width="1.69921875" customWidth="1"/>
    <col min="9" max="9" width="17.296875" bestFit="1" customWidth="1"/>
    <col min="10" max="10" width="1.69921875" customWidth="1"/>
    <col min="11" max="11" width="23.3984375" customWidth="1"/>
    <col min="12" max="13" width="9.09765625" customWidth="1"/>
    <col min="14" max="14" width="1.69921875" customWidth="1"/>
    <col min="15" max="15" width="0" hidden="1" customWidth="1"/>
    <col min="16" max="16384" width="9.09765625" hidden="1"/>
  </cols>
  <sheetData>
    <row r="1" spans="1:13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7.5" x14ac:dyDescent="0.35">
      <c r="A2" s="49" t="str">
        <f ca="1">Model_Name</f>
        <v>Go Skills Model 47 - Taxation Part 4 Start.xlsm</v>
      </c>
    </row>
    <row r="3" spans="1:13" x14ac:dyDescent="0.25">
      <c r="A3" s="147" t="s">
        <v>1</v>
      </c>
      <c r="B3" s="61"/>
      <c r="C3" s="61"/>
      <c r="D3" s="61"/>
      <c r="E3" s="61"/>
    </row>
    <row r="4" spans="1:13" ht="14" x14ac:dyDescent="0.3">
      <c r="E4" t="s">
        <v>2</v>
      </c>
      <c r="I4" s="1">
        <f ca="1">Overall_Error_Check</f>
        <v>0</v>
      </c>
    </row>
    <row r="6" spans="1:13" ht="16" thickBot="1" x14ac:dyDescent="0.4">
      <c r="B6" s="50">
        <f>MAX($B$5:$B5)+1</f>
        <v>1</v>
      </c>
      <c r="C6" s="3" t="s">
        <v>25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" outlineLevel="1" thickTop="1" x14ac:dyDescent="0.25"/>
    <row r="8" spans="1:13" outlineLevel="1" x14ac:dyDescent="0.25">
      <c r="C8" s="152" t="s">
        <v>26</v>
      </c>
      <c r="D8" s="152"/>
      <c r="E8" s="152"/>
      <c r="F8" s="152"/>
      <c r="G8" s="152"/>
      <c r="H8" s="14"/>
      <c r="I8" s="14" t="s">
        <v>27</v>
      </c>
      <c r="J8" s="14"/>
      <c r="K8" s="14" t="s">
        <v>28</v>
      </c>
    </row>
    <row r="9" spans="1:13" outlineLevel="1" x14ac:dyDescent="0.25">
      <c r="C9" s="151"/>
      <c r="D9" s="151"/>
      <c r="E9" s="151"/>
      <c r="F9" s="151"/>
      <c r="G9" s="151"/>
      <c r="H9" s="46"/>
      <c r="I9" s="46"/>
      <c r="J9" s="17"/>
      <c r="K9" s="20"/>
    </row>
    <row r="10" spans="1:13" ht="20" outlineLevel="1" x14ac:dyDescent="0.4">
      <c r="C10" s="151" t="s">
        <v>29</v>
      </c>
      <c r="D10" s="151"/>
      <c r="E10" s="151"/>
      <c r="F10" s="151"/>
      <c r="G10" s="151"/>
      <c r="H10" s="15"/>
      <c r="I10" s="16" t="str">
        <f>C10</f>
        <v>Sheet Title</v>
      </c>
      <c r="J10" s="17"/>
      <c r="K10" s="18" t="s">
        <v>29</v>
      </c>
    </row>
    <row r="11" spans="1:13" ht="17.5" outlineLevel="1" x14ac:dyDescent="0.35">
      <c r="C11" s="151" t="s">
        <v>5</v>
      </c>
      <c r="D11" s="151"/>
      <c r="E11" s="151"/>
      <c r="F11" s="151"/>
      <c r="G11" s="151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5">
      <c r="C12" s="151"/>
      <c r="D12" s="151"/>
      <c r="E12" s="151"/>
      <c r="F12" s="151"/>
      <c r="G12" s="151"/>
      <c r="H12" s="15"/>
      <c r="I12" s="15"/>
      <c r="J12" s="17"/>
      <c r="K12" s="20"/>
    </row>
    <row r="13" spans="1:13" ht="16" outlineLevel="1" thickBot="1" x14ac:dyDescent="0.4">
      <c r="C13" s="151" t="s">
        <v>30</v>
      </c>
      <c r="D13" s="151"/>
      <c r="E13" s="151"/>
      <c r="F13" s="151"/>
      <c r="G13" s="151"/>
      <c r="H13" s="15"/>
      <c r="I13" s="45" t="str">
        <f>C13</f>
        <v>Header 1</v>
      </c>
      <c r="J13" s="17"/>
      <c r="K13" s="18" t="s">
        <v>30</v>
      </c>
    </row>
    <row r="14" spans="1:13" ht="17" outlineLevel="1" thickTop="1" x14ac:dyDescent="0.35">
      <c r="C14" s="151" t="s">
        <v>31</v>
      </c>
      <c r="D14" s="151"/>
      <c r="E14" s="151"/>
      <c r="F14" s="151"/>
      <c r="G14" s="151"/>
      <c r="H14" s="15"/>
      <c r="I14" s="4" t="str">
        <f>C14</f>
        <v>Header 2</v>
      </c>
      <c r="J14" s="17"/>
      <c r="K14" s="18" t="s">
        <v>31</v>
      </c>
    </row>
    <row r="15" spans="1:13" ht="14.5" outlineLevel="1" x14ac:dyDescent="0.35">
      <c r="C15" s="151" t="s">
        <v>32</v>
      </c>
      <c r="D15" s="151"/>
      <c r="E15" s="151"/>
      <c r="F15" s="151"/>
      <c r="G15" s="151"/>
      <c r="H15" s="15"/>
      <c r="I15" s="21" t="str">
        <f>C15</f>
        <v>Header 3</v>
      </c>
      <c r="J15" s="17"/>
      <c r="K15" s="18" t="s">
        <v>32</v>
      </c>
    </row>
    <row r="16" spans="1:13" ht="14.5" outlineLevel="1" x14ac:dyDescent="0.35">
      <c r="C16" s="151" t="s">
        <v>33</v>
      </c>
      <c r="D16" s="151"/>
      <c r="E16" s="151"/>
      <c r="F16" s="151"/>
      <c r="G16" s="151"/>
      <c r="H16" s="15"/>
      <c r="I16" s="22" t="str">
        <f>C16</f>
        <v>Header 4</v>
      </c>
      <c r="J16" s="17"/>
      <c r="K16" s="18" t="s">
        <v>33</v>
      </c>
    </row>
    <row r="17" spans="2:14" outlineLevel="1" x14ac:dyDescent="0.25">
      <c r="C17" s="151"/>
      <c r="D17" s="151"/>
      <c r="E17" s="151"/>
      <c r="F17" s="151"/>
      <c r="G17" s="151"/>
      <c r="H17" s="15"/>
      <c r="I17" s="15"/>
      <c r="J17" s="17"/>
      <c r="K17" s="20"/>
    </row>
    <row r="18" spans="2:14" ht="14.5" outlineLevel="1" x14ac:dyDescent="0.35">
      <c r="C18" s="151" t="s">
        <v>34</v>
      </c>
      <c r="D18" s="151"/>
      <c r="E18" s="151"/>
      <c r="F18" s="151"/>
      <c r="G18" s="151"/>
      <c r="H18" s="15"/>
      <c r="I18" s="23" t="str">
        <f>C18</f>
        <v>Notes</v>
      </c>
      <c r="J18" s="17"/>
      <c r="K18" s="18" t="s">
        <v>34</v>
      </c>
    </row>
    <row r="19" spans="2:14" outlineLevel="1" x14ac:dyDescent="0.25">
      <c r="C19" s="151"/>
      <c r="D19" s="151"/>
      <c r="E19" s="151"/>
      <c r="F19" s="151"/>
      <c r="G19" s="151"/>
      <c r="H19" s="15"/>
      <c r="I19" s="15"/>
      <c r="J19" s="17"/>
      <c r="K19" s="20"/>
      <c r="N19" s="23"/>
    </row>
    <row r="20" spans="2:14" ht="14.5" outlineLevel="1" x14ac:dyDescent="0.35">
      <c r="C20" s="151" t="s">
        <v>35</v>
      </c>
      <c r="D20" s="151"/>
      <c r="E20" s="151"/>
      <c r="F20" s="151"/>
      <c r="G20" s="151"/>
      <c r="H20" s="15"/>
      <c r="I20" s="24" t="str">
        <f>C20</f>
        <v>Table Heading</v>
      </c>
      <c r="J20" s="17"/>
      <c r="K20" s="18" t="s">
        <v>35</v>
      </c>
    </row>
    <row r="21" spans="2:14" outlineLevel="1" x14ac:dyDescent="0.25">
      <c r="H21" s="2"/>
      <c r="I21" s="2"/>
      <c r="J21" s="2"/>
      <c r="K21" s="2"/>
    </row>
    <row r="22" spans="2:14" outlineLevel="1" x14ac:dyDescent="0.25"/>
    <row r="23" spans="2:14" ht="16" thickBot="1" x14ac:dyDescent="0.4">
      <c r="B23" s="50">
        <f>MAX($B$5:$B22)+1</f>
        <v>2</v>
      </c>
      <c r="C23" s="3" t="s">
        <v>36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" outlineLevel="1" thickTop="1" x14ac:dyDescent="0.25"/>
    <row r="25" spans="2:14" outlineLevel="1" x14ac:dyDescent="0.25">
      <c r="C25" s="153" t="s">
        <v>26</v>
      </c>
      <c r="D25" s="153"/>
      <c r="E25" s="153"/>
      <c r="F25" s="153"/>
      <c r="G25" s="153"/>
      <c r="H25" s="24"/>
      <c r="I25" s="24" t="s">
        <v>27</v>
      </c>
      <c r="J25" s="24"/>
      <c r="K25" s="24" t="s">
        <v>28</v>
      </c>
    </row>
    <row r="26" spans="2:14" ht="14.5" outlineLevel="1" x14ac:dyDescent="0.35">
      <c r="C26" s="151"/>
      <c r="D26" s="151"/>
      <c r="E26" s="151"/>
      <c r="F26" s="151"/>
      <c r="G26" s="151"/>
      <c r="H26" s="46"/>
      <c r="I26" s="46"/>
      <c r="J26" s="17"/>
      <c r="K26" s="18"/>
    </row>
    <row r="27" spans="2:14" ht="14.5" outlineLevel="1" x14ac:dyDescent="0.35">
      <c r="C27" s="151" t="s">
        <v>37</v>
      </c>
      <c r="D27" s="151"/>
      <c r="E27" s="151"/>
      <c r="F27" s="151"/>
      <c r="G27" s="151"/>
      <c r="H27" s="15"/>
      <c r="I27" s="25" t="s">
        <v>37</v>
      </c>
      <c r="J27" s="15"/>
      <c r="K27" s="26" t="str">
        <f>C27</f>
        <v>Assumption</v>
      </c>
    </row>
    <row r="28" spans="2:14" ht="14.5" outlineLevel="1" x14ac:dyDescent="0.35">
      <c r="C28" s="151"/>
      <c r="D28" s="151"/>
      <c r="E28" s="151"/>
      <c r="F28" s="151"/>
      <c r="G28" s="151"/>
      <c r="H28" s="15"/>
      <c r="I28" s="15"/>
      <c r="J28" s="15"/>
      <c r="K28" s="26"/>
    </row>
    <row r="29" spans="2:14" ht="14.5" outlineLevel="1" x14ac:dyDescent="0.35">
      <c r="C29" s="151" t="s">
        <v>38</v>
      </c>
      <c r="D29" s="151"/>
      <c r="E29" s="151"/>
      <c r="F29" s="151"/>
      <c r="G29" s="151"/>
      <c r="H29" s="15"/>
      <c r="I29" s="27" t="str">
        <f>C29</f>
        <v>Constraint</v>
      </c>
      <c r="J29" s="15"/>
      <c r="K29" s="26" t="str">
        <f>C29</f>
        <v>Constraint</v>
      </c>
    </row>
    <row r="30" spans="2:14" ht="14.5" outlineLevel="1" x14ac:dyDescent="0.35">
      <c r="C30" s="151"/>
      <c r="D30" s="151"/>
      <c r="E30" s="151"/>
      <c r="F30" s="151"/>
      <c r="G30" s="151"/>
      <c r="H30" s="15"/>
      <c r="I30" s="15"/>
      <c r="J30" s="15"/>
      <c r="K30" s="26"/>
    </row>
    <row r="31" spans="2:14" ht="14.5" outlineLevel="1" x14ac:dyDescent="0.35">
      <c r="C31" s="150" t="s">
        <v>39</v>
      </c>
      <c r="D31" s="150"/>
      <c r="E31" s="150"/>
      <c r="F31" s="150"/>
      <c r="G31" s="150"/>
      <c r="I31" s="28"/>
      <c r="K31" s="26" t="str">
        <f>C31</f>
        <v>Empty</v>
      </c>
    </row>
    <row r="32" spans="2:14" ht="14.5" outlineLevel="1" x14ac:dyDescent="0.35">
      <c r="C32" s="150"/>
      <c r="D32" s="150"/>
      <c r="E32" s="150"/>
      <c r="F32" s="150"/>
      <c r="G32" s="150"/>
      <c r="K32" s="26"/>
    </row>
    <row r="33" spans="3:11" ht="14.5" outlineLevel="1" x14ac:dyDescent="0.35">
      <c r="C33" t="s">
        <v>40</v>
      </c>
      <c r="I33" s="29">
        <v>0</v>
      </c>
      <c r="K33" s="26" t="str">
        <f>C33</f>
        <v>Error Check</v>
      </c>
    </row>
    <row r="34" spans="3:11" ht="14.5" outlineLevel="1" x14ac:dyDescent="0.35">
      <c r="K34" s="26"/>
    </row>
    <row r="35" spans="3:11" ht="14.5" outlineLevel="1" x14ac:dyDescent="0.35">
      <c r="C35" s="150" t="s">
        <v>41</v>
      </c>
      <c r="D35" s="150"/>
      <c r="E35" s="150"/>
      <c r="F35" s="150"/>
      <c r="G35" s="150"/>
      <c r="I35" s="12" t="s">
        <v>41</v>
      </c>
      <c r="K35" s="26" t="str">
        <f>C35</f>
        <v>Hyperlink</v>
      </c>
    </row>
    <row r="36" spans="3:11" ht="14.5" outlineLevel="1" x14ac:dyDescent="0.35">
      <c r="C36" s="150"/>
      <c r="D36" s="150"/>
      <c r="E36" s="150"/>
      <c r="F36" s="150"/>
      <c r="G36" s="150"/>
      <c r="K36" s="26"/>
    </row>
    <row r="37" spans="3:11" ht="14.5" outlineLevel="1" x14ac:dyDescent="0.35">
      <c r="C37" s="150" t="s">
        <v>42</v>
      </c>
      <c r="D37" s="150"/>
      <c r="E37" s="150"/>
      <c r="F37" s="150"/>
      <c r="G37" s="150"/>
      <c r="I37" s="30">
        <f>Days_in_Year</f>
        <v>365</v>
      </c>
      <c r="K37" s="26" t="str">
        <f>C37</f>
        <v>Internal Reference</v>
      </c>
    </row>
    <row r="38" spans="3:11" ht="14.5" outlineLevel="1" x14ac:dyDescent="0.35">
      <c r="C38" s="150"/>
      <c r="D38" s="150"/>
      <c r="E38" s="150"/>
      <c r="F38" s="150"/>
      <c r="G38" s="150"/>
      <c r="K38" s="26"/>
    </row>
    <row r="39" spans="3:11" ht="14.5" outlineLevel="1" x14ac:dyDescent="0.35">
      <c r="C39" s="150" t="s">
        <v>43</v>
      </c>
      <c r="D39" s="150"/>
      <c r="E39" s="150"/>
      <c r="F39" s="150"/>
      <c r="G39" s="150"/>
      <c r="I39" s="31">
        <v>77</v>
      </c>
      <c r="K39" s="26" t="s">
        <v>44</v>
      </c>
    </row>
    <row r="40" spans="3:11" ht="14.5" outlineLevel="1" x14ac:dyDescent="0.35">
      <c r="C40" s="150"/>
      <c r="D40" s="150"/>
      <c r="E40" s="150"/>
      <c r="F40" s="150"/>
      <c r="G40" s="150"/>
      <c r="K40" s="26"/>
    </row>
    <row r="41" spans="3:11" ht="14.5" outlineLevel="1" x14ac:dyDescent="0.35">
      <c r="C41" s="150" t="s">
        <v>45</v>
      </c>
      <c r="D41" s="150"/>
      <c r="E41" s="150"/>
      <c r="F41" s="150"/>
      <c r="G41" s="150"/>
      <c r="I41" s="32">
        <f>I39</f>
        <v>77</v>
      </c>
      <c r="K41" s="26" t="str">
        <f>C41</f>
        <v>Line Total</v>
      </c>
    </row>
    <row r="42" spans="3:11" ht="14.5" outlineLevel="1" x14ac:dyDescent="0.35">
      <c r="C42" s="150"/>
      <c r="D42" s="150"/>
      <c r="E42" s="150"/>
      <c r="F42" s="150"/>
      <c r="G42" s="150"/>
      <c r="K42" s="26"/>
    </row>
    <row r="43" spans="3:11" ht="14.5" outlineLevel="1" x14ac:dyDescent="0.35">
      <c r="C43" s="150" t="s">
        <v>46</v>
      </c>
      <c r="D43" s="150"/>
      <c r="E43" s="150"/>
      <c r="F43" s="150"/>
      <c r="G43" s="150"/>
      <c r="I43" s="33">
        <v>365</v>
      </c>
      <c r="K43" s="26" t="str">
        <f>C43</f>
        <v>Parameter</v>
      </c>
    </row>
    <row r="44" spans="3:11" ht="14.5" outlineLevel="1" x14ac:dyDescent="0.35">
      <c r="C44" s="150"/>
      <c r="D44" s="150"/>
      <c r="E44" s="150"/>
      <c r="F44" s="150"/>
      <c r="G44" s="150"/>
      <c r="K44" s="26"/>
    </row>
    <row r="45" spans="3:11" ht="14.5" outlineLevel="1" x14ac:dyDescent="0.35">
      <c r="C45" s="150" t="s">
        <v>47</v>
      </c>
      <c r="D45" s="150"/>
      <c r="E45" s="150"/>
      <c r="F45" s="150"/>
      <c r="G45" s="150"/>
      <c r="I45" s="34" t="s">
        <v>48</v>
      </c>
      <c r="K45" s="26" t="str">
        <f>C45</f>
        <v>Range Name Description</v>
      </c>
    </row>
    <row r="46" spans="3:11" ht="14.5" outlineLevel="1" x14ac:dyDescent="0.35">
      <c r="C46" s="150"/>
      <c r="D46" s="150"/>
      <c r="E46" s="150"/>
      <c r="F46" s="150"/>
      <c r="G46" s="150"/>
      <c r="K46" s="26"/>
    </row>
    <row r="47" spans="3:11" ht="14.5" outlineLevel="1" x14ac:dyDescent="0.35">
      <c r="C47" s="150" t="s">
        <v>49</v>
      </c>
      <c r="D47" s="150"/>
      <c r="E47" s="150"/>
      <c r="F47" s="150"/>
      <c r="G47" s="150"/>
      <c r="I47" s="35">
        <f>ROW(C47)</f>
        <v>47</v>
      </c>
      <c r="K47" s="26" t="s">
        <v>50</v>
      </c>
    </row>
    <row r="48" spans="3:11" ht="14.5" outlineLevel="1" x14ac:dyDescent="0.35">
      <c r="C48" s="150"/>
      <c r="D48" s="150"/>
      <c r="E48" s="150"/>
      <c r="F48" s="150"/>
      <c r="G48" s="150"/>
      <c r="K48" s="26"/>
    </row>
    <row r="49" spans="2:13" ht="14.5" outlineLevel="1" x14ac:dyDescent="0.35">
      <c r="C49" s="150" t="s">
        <v>51</v>
      </c>
      <c r="D49" s="150"/>
      <c r="E49" s="150"/>
      <c r="F49" s="150"/>
      <c r="G49" s="150"/>
      <c r="I49" s="36">
        <f>I41</f>
        <v>77</v>
      </c>
      <c r="K49" s="26" t="str">
        <f>C49</f>
        <v>Row Summary</v>
      </c>
    </row>
    <row r="50" spans="2:13" ht="14.5" outlineLevel="1" x14ac:dyDescent="0.35">
      <c r="C50" s="150"/>
      <c r="D50" s="150"/>
      <c r="E50" s="150"/>
      <c r="F50" s="150"/>
      <c r="G50" s="150"/>
      <c r="K50" s="26"/>
    </row>
    <row r="51" spans="2:13" ht="14.5" outlineLevel="1" x14ac:dyDescent="0.35">
      <c r="C51" s="150" t="s">
        <v>52</v>
      </c>
      <c r="D51" s="150"/>
      <c r="E51" s="150"/>
      <c r="F51" s="150"/>
      <c r="G51" s="150"/>
      <c r="I51" s="37" t="s">
        <v>66</v>
      </c>
      <c r="K51" s="26" t="str">
        <f>C51</f>
        <v>Units</v>
      </c>
    </row>
    <row r="52" spans="2:13" ht="14.5" outlineLevel="1" x14ac:dyDescent="0.35">
      <c r="C52" s="150"/>
      <c r="D52" s="150"/>
      <c r="E52" s="150"/>
      <c r="F52" s="150"/>
      <c r="G52" s="150"/>
      <c r="K52" s="26"/>
    </row>
    <row r="53" spans="2:13" ht="14.5" outlineLevel="1" x14ac:dyDescent="0.35">
      <c r="C53" s="150" t="s">
        <v>53</v>
      </c>
      <c r="D53" s="150"/>
      <c r="E53" s="150"/>
      <c r="F53" s="150"/>
      <c r="G53" s="150"/>
      <c r="I53" s="38"/>
      <c r="K53" s="26" t="str">
        <f>C53</f>
        <v>WIP</v>
      </c>
    </row>
    <row r="54" spans="2:13" ht="14.5" outlineLevel="1" x14ac:dyDescent="0.35">
      <c r="C54" s="150"/>
      <c r="D54" s="150"/>
      <c r="E54" s="150"/>
      <c r="F54" s="150"/>
      <c r="G54" s="150"/>
      <c r="K54" s="26"/>
    </row>
    <row r="55" spans="2:13" outlineLevel="1" x14ac:dyDescent="0.25">
      <c r="C55" s="150"/>
      <c r="D55" s="150"/>
      <c r="E55" s="150"/>
      <c r="F55" s="150"/>
      <c r="G55" s="150"/>
    </row>
    <row r="56" spans="2:13" ht="16" thickBot="1" x14ac:dyDescent="0.4">
      <c r="B56" s="50">
        <f>MAX($B$5:$B55)+1</f>
        <v>3</v>
      </c>
      <c r="C56" s="3" t="s">
        <v>54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" outlineLevel="1" thickTop="1" x14ac:dyDescent="0.25"/>
    <row r="58" spans="2:13" outlineLevel="1" x14ac:dyDescent="0.25">
      <c r="C58" s="152" t="s">
        <v>26</v>
      </c>
      <c r="D58" s="152"/>
      <c r="E58" s="152"/>
      <c r="F58" s="152"/>
      <c r="G58" s="152"/>
      <c r="H58" s="14"/>
      <c r="I58" s="14" t="s">
        <v>27</v>
      </c>
      <c r="J58" s="14"/>
      <c r="K58" s="14" t="s">
        <v>28</v>
      </c>
    </row>
    <row r="59" spans="2:13" outlineLevel="1" x14ac:dyDescent="0.25"/>
    <row r="60" spans="2:13" ht="14.5" outlineLevel="1" x14ac:dyDescent="0.35">
      <c r="C60" s="150" t="s">
        <v>55</v>
      </c>
      <c r="D60" s="150"/>
      <c r="E60" s="150"/>
      <c r="F60" s="150"/>
      <c r="G60" s="150"/>
      <c r="I60" s="53">
        <v>123456.789</v>
      </c>
      <c r="K60" s="26" t="str">
        <f t="shared" ref="K60:K66" si="0">C60</f>
        <v>Comma</v>
      </c>
    </row>
    <row r="61" spans="2:13" ht="14.5" outlineLevel="1" x14ac:dyDescent="0.35">
      <c r="C61" s="150"/>
      <c r="D61" s="150"/>
      <c r="E61" s="150"/>
      <c r="F61" s="150"/>
      <c r="G61" s="150"/>
      <c r="K61" s="26"/>
    </row>
    <row r="62" spans="2:13" ht="14.5" outlineLevel="1" x14ac:dyDescent="0.35">
      <c r="C62" s="150" t="s">
        <v>56</v>
      </c>
      <c r="D62" s="150"/>
      <c r="E62" s="150"/>
      <c r="F62" s="150"/>
      <c r="G62" s="150"/>
      <c r="I62" s="52">
        <v>-123456.789</v>
      </c>
      <c r="K62" s="26" t="str">
        <f t="shared" si="0"/>
        <v>Comma [0]</v>
      </c>
    </row>
    <row r="63" spans="2:13" ht="14.5" outlineLevel="1" x14ac:dyDescent="0.35">
      <c r="C63" s="150"/>
      <c r="D63" s="150"/>
      <c r="E63" s="150"/>
      <c r="F63" s="150"/>
      <c r="G63" s="150"/>
      <c r="K63" s="26"/>
    </row>
    <row r="64" spans="2:13" ht="14.5" outlineLevel="1" x14ac:dyDescent="0.35">
      <c r="C64" s="150" t="s">
        <v>57</v>
      </c>
      <c r="D64" s="150"/>
      <c r="E64" s="150"/>
      <c r="F64" s="150"/>
      <c r="G64" s="150"/>
      <c r="I64" s="54">
        <v>123456.789</v>
      </c>
      <c r="K64" s="26" t="str">
        <f t="shared" si="0"/>
        <v>Currency</v>
      </c>
    </row>
    <row r="65" spans="3:11" ht="14.5" outlineLevel="1" x14ac:dyDescent="0.35">
      <c r="C65" s="150"/>
      <c r="D65" s="150"/>
      <c r="E65" s="150"/>
      <c r="F65" s="150"/>
      <c r="G65" s="150"/>
      <c r="K65" s="26"/>
    </row>
    <row r="66" spans="3:11" ht="14.5" outlineLevel="1" x14ac:dyDescent="0.35">
      <c r="C66" s="150" t="s">
        <v>58</v>
      </c>
      <c r="D66" s="150"/>
      <c r="E66" s="150"/>
      <c r="F66" s="150"/>
      <c r="G66" s="150"/>
      <c r="I66" s="55">
        <v>123456.789</v>
      </c>
      <c r="K66" s="26" t="str">
        <f t="shared" si="0"/>
        <v>Currency [0]</v>
      </c>
    </row>
    <row r="67" spans="3:11" ht="14.5" outlineLevel="1" x14ac:dyDescent="0.35">
      <c r="C67" s="150"/>
      <c r="D67" s="150"/>
      <c r="E67" s="150"/>
      <c r="F67" s="150"/>
      <c r="G67" s="150"/>
      <c r="K67" s="26"/>
    </row>
    <row r="68" spans="3:11" ht="14.5" outlineLevel="1" x14ac:dyDescent="0.35">
      <c r="C68" s="151" t="s">
        <v>59</v>
      </c>
      <c r="D68" s="151"/>
      <c r="E68" s="151"/>
      <c r="F68" s="151"/>
      <c r="G68" s="151"/>
      <c r="H68" s="15"/>
      <c r="I68" s="56">
        <f ca="1">TODAY()</f>
        <v>42845</v>
      </c>
      <c r="J68" s="15"/>
      <c r="K68" s="26" t="str">
        <f>C68</f>
        <v>Date</v>
      </c>
    </row>
    <row r="69" spans="3:11" ht="14.5" outlineLevel="1" x14ac:dyDescent="0.35">
      <c r="C69" s="151"/>
      <c r="D69" s="151"/>
      <c r="E69" s="151"/>
      <c r="F69" s="151"/>
      <c r="G69" s="151"/>
      <c r="H69" s="15"/>
      <c r="I69" s="15"/>
      <c r="J69" s="15"/>
      <c r="K69" s="26"/>
    </row>
    <row r="70" spans="3:11" ht="14.5" outlineLevel="1" x14ac:dyDescent="0.35">
      <c r="C70" s="151" t="s">
        <v>60</v>
      </c>
      <c r="D70" s="151"/>
      <c r="E70" s="151"/>
      <c r="F70" s="151"/>
      <c r="G70" s="151"/>
      <c r="H70" s="15"/>
      <c r="I70" s="57">
        <f ca="1">TODAY()</f>
        <v>42845</v>
      </c>
      <c r="J70" s="15"/>
      <c r="K70" s="26" t="str">
        <f>C70</f>
        <v>Date Heading</v>
      </c>
    </row>
    <row r="71" spans="3:11" ht="14.5" outlineLevel="1" x14ac:dyDescent="0.35">
      <c r="C71" s="150"/>
      <c r="D71" s="150"/>
      <c r="E71" s="150"/>
      <c r="F71" s="150"/>
      <c r="G71" s="150"/>
      <c r="K71" s="26"/>
    </row>
    <row r="72" spans="3:11" ht="14.5" outlineLevel="1" x14ac:dyDescent="0.35">
      <c r="C72" s="150" t="s">
        <v>61</v>
      </c>
      <c r="D72" s="150"/>
      <c r="E72" s="150"/>
      <c r="F72" s="150"/>
      <c r="G72" s="150"/>
      <c r="I72" s="39">
        <v>-123456.789</v>
      </c>
      <c r="K72" s="26" t="str">
        <f>C72</f>
        <v>Numbers 0</v>
      </c>
    </row>
    <row r="73" spans="3:11" ht="14.5" outlineLevel="1" x14ac:dyDescent="0.35">
      <c r="C73" s="150"/>
      <c r="D73" s="150"/>
      <c r="E73" s="150"/>
      <c r="F73" s="150"/>
      <c r="G73" s="150"/>
      <c r="K73" s="26"/>
    </row>
    <row r="74" spans="3:11" ht="14.5" outlineLevel="1" x14ac:dyDescent="0.35">
      <c r="C74" s="150" t="s">
        <v>62</v>
      </c>
      <c r="D74" s="150"/>
      <c r="E74" s="150"/>
      <c r="F74" s="150"/>
      <c r="G74" s="150"/>
      <c r="I74" s="40">
        <v>0.5</v>
      </c>
      <c r="K74" s="26" t="str">
        <f>C74</f>
        <v>Percent</v>
      </c>
    </row>
    <row r="75" spans="3:11" outlineLevel="1" x14ac:dyDescent="0.25">
      <c r="C75" s="150"/>
      <c r="D75" s="150"/>
      <c r="E75" s="150"/>
      <c r="F75" s="150"/>
      <c r="G75" s="150"/>
    </row>
    <row r="76" spans="3:11" outlineLevel="1" x14ac:dyDescent="0.25">
      <c r="C76" s="150"/>
      <c r="D76" s="150"/>
      <c r="E76" s="150"/>
      <c r="F76" s="150"/>
      <c r="G76" s="150"/>
    </row>
    <row r="77" spans="3:11" x14ac:dyDescent="0.25">
      <c r="C77" s="150"/>
      <c r="D77" s="150"/>
      <c r="E77" s="150"/>
      <c r="F77" s="150"/>
      <c r="G77" s="150"/>
    </row>
    <row r="78" spans="3:11" x14ac:dyDescent="0.25">
      <c r="C78" s="150"/>
      <c r="D78" s="150"/>
      <c r="E78" s="150"/>
      <c r="F78" s="150"/>
      <c r="G78" s="150"/>
    </row>
    <row r="79" spans="3:11" x14ac:dyDescent="0.25">
      <c r="C79" s="150"/>
      <c r="D79" s="150"/>
      <c r="E79" s="150"/>
      <c r="F79" s="150"/>
      <c r="G79" s="150"/>
    </row>
    <row r="80" spans="3:11" x14ac:dyDescent="0.25">
      <c r="C80" s="150"/>
      <c r="D80" s="150"/>
      <c r="E80" s="150"/>
      <c r="F80" s="150"/>
      <c r="G80" s="150"/>
    </row>
    <row r="81" spans="3:7" x14ac:dyDescent="0.25">
      <c r="C81" s="150"/>
      <c r="D81" s="150"/>
      <c r="E81" s="150"/>
      <c r="F81" s="150"/>
      <c r="G81" s="150"/>
    </row>
  </sheetData>
  <mergeCells count="65">
    <mergeCell ref="C17:G1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26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outlinePr summaryBelow="0"/>
    <pageSetUpPr fitToPage="1"/>
  </sheetPr>
  <dimension ref="A1:S56"/>
  <sheetViews>
    <sheetView showGridLines="0" zoomScaleNormal="100" workbookViewId="0">
      <pane ySplit="4" topLeftCell="A5" activePane="bottomLeft" state="frozen"/>
      <selection activeCell="D42" sqref="D42"/>
      <selection pane="bottomLeft" activeCell="A5" sqref="A5"/>
    </sheetView>
  </sheetViews>
  <sheetFormatPr defaultColWidth="0" defaultRowHeight="11.5" outlineLevelRow="1" x14ac:dyDescent="0.25"/>
  <cols>
    <col min="1" max="5" width="3.69921875" customWidth="1"/>
    <col min="6" max="6" width="16.296875" customWidth="1"/>
    <col min="7" max="7" width="14.3984375" customWidth="1"/>
    <col min="8" max="8" width="3" customWidth="1"/>
    <col min="9" max="18" width="9.09765625" customWidth="1"/>
    <col min="19" max="19" width="1.69921875" customWidth="1"/>
    <col min="20" max="16384" width="9.09765625" hidden="1"/>
  </cols>
  <sheetData>
    <row r="1" spans="1:18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Model Parameters</v>
      </c>
      <c r="J1" s="149"/>
      <c r="K1" s="149"/>
    </row>
    <row r="2" spans="1:18" ht="17.5" x14ac:dyDescent="0.35">
      <c r="A2" s="49" t="str">
        <f ca="1">Model_Name</f>
        <v>Go Skills Model 47 - Taxation Part 4 Start.xlsm</v>
      </c>
    </row>
    <row r="3" spans="1:18" x14ac:dyDescent="0.25">
      <c r="A3" s="147" t="s">
        <v>1</v>
      </c>
      <c r="B3" s="61"/>
      <c r="C3" s="61"/>
      <c r="D3" s="61"/>
      <c r="E3" s="61"/>
    </row>
    <row r="4" spans="1:18" ht="14" x14ac:dyDescent="0.3">
      <c r="E4" t="s">
        <v>2</v>
      </c>
      <c r="I4" s="1">
        <f ca="1">Overall_Error_Check</f>
        <v>0</v>
      </c>
    </row>
    <row r="6" spans="1:18" ht="16" thickBot="1" x14ac:dyDescent="0.4">
      <c r="B6" s="50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 outlineLevel="1" thickTop="1" x14ac:dyDescent="0.25"/>
    <row r="8" spans="1:18" ht="16.5" outlineLevel="1" x14ac:dyDescent="0.35">
      <c r="C8" s="4" t="s">
        <v>4</v>
      </c>
    </row>
    <row r="9" spans="1:18" ht="16.5" outlineLevel="1" x14ac:dyDescent="0.35">
      <c r="C9" s="4"/>
    </row>
    <row r="10" spans="1:18" ht="16.5" outlineLevel="1" x14ac:dyDescent="0.35">
      <c r="C10" s="4"/>
      <c r="E10" s="5" t="s">
        <v>3</v>
      </c>
    </row>
    <row r="11" spans="1:18" outlineLevel="1" x14ac:dyDescent="0.25">
      <c r="E11" t="s">
        <v>5</v>
      </c>
      <c r="G11" s="154" t="str">
        <f ca="1">IF(ISERROR(OR(FIND("[",CELL("filename",A1)),FIND("]",CELL("filename",A1)))),"",MID(CELL("filename",A1),FIND("[",CELL("filename",A1))+1,FIND("]",CELL("filename",A1))-FIND("[",CELL("filename",A1))-1))</f>
        <v>Go Skills Model 47 - Taxation Part 4 Start.xlsm</v>
      </c>
      <c r="H11" s="155"/>
      <c r="I11" s="155"/>
      <c r="J11" s="155"/>
      <c r="K11" s="155"/>
      <c r="L11" s="155"/>
      <c r="M11" s="155"/>
      <c r="N11" s="156"/>
    </row>
    <row r="12" spans="1:18" outlineLevel="1" x14ac:dyDescent="0.25">
      <c r="E12" t="s">
        <v>6</v>
      </c>
      <c r="G12" s="157" t="s">
        <v>135</v>
      </c>
      <c r="H12" s="157"/>
      <c r="I12" s="157"/>
      <c r="J12" s="157"/>
      <c r="K12" s="157"/>
      <c r="L12" s="157"/>
      <c r="M12" s="157"/>
      <c r="N12" s="157"/>
    </row>
    <row r="13" spans="1:18" outlineLevel="1" x14ac:dyDescent="0.25"/>
    <row r="14" spans="1:18" outlineLevel="1" x14ac:dyDescent="0.25"/>
    <row r="15" spans="1:18" ht="16" thickBot="1" x14ac:dyDescent="0.4">
      <c r="B15" s="50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" outlineLevel="1" thickTop="1" x14ac:dyDescent="0.25"/>
    <row r="17" spans="3:9" ht="16.5" outlineLevel="1" x14ac:dyDescent="0.35">
      <c r="C17" s="4" t="s">
        <v>8</v>
      </c>
    </row>
    <row r="18" spans="3:9" outlineLevel="1" x14ac:dyDescent="0.25"/>
    <row r="19" spans="3:9" outlineLevel="1" x14ac:dyDescent="0.25">
      <c r="E19" t="s">
        <v>9</v>
      </c>
      <c r="G19" s="6">
        <v>365</v>
      </c>
      <c r="I19" s="23" t="s">
        <v>142</v>
      </c>
    </row>
    <row r="20" spans="3:9" outlineLevel="1" x14ac:dyDescent="0.25">
      <c r="E20" t="s">
        <v>10</v>
      </c>
      <c r="G20" s="6">
        <v>1</v>
      </c>
      <c r="I20" s="23" t="s">
        <v>111</v>
      </c>
    </row>
    <row r="21" spans="3:9" outlineLevel="1" x14ac:dyDescent="0.25">
      <c r="E21" t="s">
        <v>11</v>
      </c>
      <c r="G21" s="6">
        <v>3</v>
      </c>
      <c r="I21" s="23" t="s">
        <v>112</v>
      </c>
    </row>
    <row r="22" spans="3:9" outlineLevel="1" x14ac:dyDescent="0.25">
      <c r="E22" t="s">
        <v>12</v>
      </c>
      <c r="G22" s="6">
        <v>6</v>
      </c>
      <c r="I22" s="23" t="s">
        <v>113</v>
      </c>
    </row>
    <row r="23" spans="3:9" outlineLevel="1" x14ac:dyDescent="0.25">
      <c r="E23" t="s">
        <v>13</v>
      </c>
      <c r="G23" s="6">
        <v>12</v>
      </c>
      <c r="I23" s="23" t="s">
        <v>114</v>
      </c>
    </row>
    <row r="24" spans="3:9" outlineLevel="1" x14ac:dyDescent="0.25">
      <c r="E24" t="s">
        <v>14</v>
      </c>
      <c r="G24" s="6">
        <v>4</v>
      </c>
      <c r="I24" s="23" t="s">
        <v>115</v>
      </c>
    </row>
    <row r="25" spans="3:9" outlineLevel="1" x14ac:dyDescent="0.25"/>
    <row r="26" spans="3:9" outlineLevel="1" x14ac:dyDescent="0.25">
      <c r="E26" t="s">
        <v>15</v>
      </c>
      <c r="G26" s="6">
        <v>5</v>
      </c>
      <c r="I26" s="23" t="s">
        <v>116</v>
      </c>
    </row>
    <row r="27" spans="3:9" outlineLevel="1" x14ac:dyDescent="0.25"/>
    <row r="28" spans="3:9" outlineLevel="1" x14ac:dyDescent="0.25">
      <c r="E28" t="s">
        <v>16</v>
      </c>
      <c r="G28" s="7">
        <v>9.9999999999999997E+98</v>
      </c>
      <c r="I28" s="23" t="s">
        <v>117</v>
      </c>
    </row>
    <row r="29" spans="3:9" outlineLevel="1" x14ac:dyDescent="0.25">
      <c r="E29" t="s">
        <v>17</v>
      </c>
      <c r="G29" s="7">
        <v>1E-8</v>
      </c>
      <c r="I29" s="23" t="s">
        <v>118</v>
      </c>
    </row>
    <row r="30" spans="3:9" outlineLevel="1" x14ac:dyDescent="0.25"/>
    <row r="31" spans="3:9" outlineLevel="1" x14ac:dyDescent="0.25">
      <c r="E31" t="s">
        <v>18</v>
      </c>
      <c r="G31" s="6">
        <v>1000</v>
      </c>
      <c r="I31" s="23" t="s">
        <v>18</v>
      </c>
    </row>
    <row r="32" spans="3:9" outlineLevel="1" x14ac:dyDescent="0.25"/>
    <row r="33" spans="2:18" outlineLevel="1" x14ac:dyDescent="0.25"/>
    <row r="35" spans="2:18" ht="16" thickBot="1" x14ac:dyDescent="0.4">
      <c r="B35" s="50">
        <f>MAX($B$5:$B34)+1</f>
        <v>3</v>
      </c>
      <c r="C35" s="3" t="s">
        <v>91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" thickTop="1" x14ac:dyDescent="0.25"/>
    <row r="37" spans="2:18" ht="20" x14ac:dyDescent="0.4">
      <c r="C37" s="48" t="s">
        <v>52</v>
      </c>
    </row>
    <row r="39" spans="2:18" x14ac:dyDescent="0.25">
      <c r="E39" t="s">
        <v>92</v>
      </c>
      <c r="G39" s="6" t="s">
        <v>101</v>
      </c>
      <c r="I39" s="23" t="s">
        <v>92</v>
      </c>
    </row>
    <row r="40" spans="2:18" x14ac:dyDescent="0.25">
      <c r="E40" t="s">
        <v>57</v>
      </c>
      <c r="G40" s="6" t="s">
        <v>102</v>
      </c>
      <c r="I40" s="23" t="s">
        <v>57</v>
      </c>
    </row>
    <row r="41" spans="2:18" s="65" customFormat="1" x14ac:dyDescent="0.25">
      <c r="E41" s="65" t="s">
        <v>130</v>
      </c>
      <c r="G41" s="6" t="s">
        <v>131</v>
      </c>
      <c r="I41" s="23" t="s">
        <v>130</v>
      </c>
    </row>
    <row r="42" spans="2:18" x14ac:dyDescent="0.25">
      <c r="E42" t="s">
        <v>93</v>
      </c>
      <c r="G42" s="6" t="s">
        <v>103</v>
      </c>
      <c r="I42" s="23" t="s">
        <v>93</v>
      </c>
    </row>
    <row r="43" spans="2:18" x14ac:dyDescent="0.25">
      <c r="E43" t="s">
        <v>94</v>
      </c>
      <c r="G43" s="6" t="s">
        <v>104</v>
      </c>
      <c r="I43" s="23" t="s">
        <v>94</v>
      </c>
    </row>
    <row r="44" spans="2:18" x14ac:dyDescent="0.25">
      <c r="E44" t="s">
        <v>95</v>
      </c>
      <c r="G44" s="6" t="s">
        <v>105</v>
      </c>
      <c r="I44" s="23" t="s">
        <v>119</v>
      </c>
    </row>
    <row r="45" spans="2:18" x14ac:dyDescent="0.25">
      <c r="E45" t="s">
        <v>96</v>
      </c>
      <c r="G45" s="6" t="s">
        <v>96</v>
      </c>
      <c r="I45" s="23" t="s">
        <v>96</v>
      </c>
    </row>
    <row r="46" spans="2:18" x14ac:dyDescent="0.25">
      <c r="E46" t="s">
        <v>97</v>
      </c>
      <c r="G46" s="6" t="s">
        <v>106</v>
      </c>
      <c r="I46" s="23" t="s">
        <v>124</v>
      </c>
    </row>
    <row r="47" spans="2:18" x14ac:dyDescent="0.25">
      <c r="E47" t="s">
        <v>120</v>
      </c>
      <c r="G47" s="6" t="s">
        <v>107</v>
      </c>
      <c r="I47" s="23" t="s">
        <v>120</v>
      </c>
    </row>
    <row r="48" spans="2:18" s="64" customFormat="1" x14ac:dyDescent="0.25">
      <c r="E48" s="64" t="s">
        <v>125</v>
      </c>
      <c r="G48" s="6" t="s">
        <v>127</v>
      </c>
      <c r="I48" s="23" t="s">
        <v>125</v>
      </c>
    </row>
    <row r="49" spans="3:9" s="64" customFormat="1" x14ac:dyDescent="0.25">
      <c r="E49" s="64" t="s">
        <v>126</v>
      </c>
      <c r="G49" s="6" t="s">
        <v>128</v>
      </c>
      <c r="I49" s="23" t="s">
        <v>129</v>
      </c>
    </row>
    <row r="52" spans="3:9" ht="20" x14ac:dyDescent="0.4">
      <c r="C52" s="48" t="s">
        <v>132</v>
      </c>
    </row>
    <row r="54" spans="3:9" x14ac:dyDescent="0.25">
      <c r="E54" t="s">
        <v>98</v>
      </c>
      <c r="G54" s="6" t="s">
        <v>108</v>
      </c>
      <c r="I54" s="23" t="s">
        <v>121</v>
      </c>
    </row>
    <row r="55" spans="3:9" x14ac:dyDescent="0.25">
      <c r="E55" t="s">
        <v>99</v>
      </c>
      <c r="G55" s="6" t="s">
        <v>109</v>
      </c>
      <c r="I55" s="23" t="s">
        <v>122</v>
      </c>
    </row>
    <row r="56" spans="3:9" x14ac:dyDescent="0.25">
      <c r="E56" t="s">
        <v>100</v>
      </c>
      <c r="G56" s="6" t="s">
        <v>110</v>
      </c>
      <c r="I56" s="23" t="s">
        <v>123</v>
      </c>
    </row>
  </sheetData>
  <sheetProtection formatColumns="0" formatRows="0"/>
  <mergeCells count="3">
    <mergeCell ref="J1:K1"/>
    <mergeCell ref="G11:N11"/>
    <mergeCell ref="G12:N12"/>
  </mergeCells>
  <conditionalFormatting sqref="I4">
    <cfRule type="cellIs" dxfId="25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/>
    <pageSetUpPr fitToPage="1"/>
  </sheetPr>
  <dimension ref="A1:O129"/>
  <sheetViews>
    <sheetView zoomScaleNormal="100" workbookViewId="0">
      <pane ySplit="9" topLeftCell="A10" activePane="bottomLeft" state="frozen"/>
      <selection activeCell="D42" sqref="D42"/>
      <selection pane="bottomLeft" activeCell="A10" sqref="A10"/>
    </sheetView>
  </sheetViews>
  <sheetFormatPr defaultColWidth="9.09765625" defaultRowHeight="11.5" x14ac:dyDescent="0.25"/>
  <cols>
    <col min="1" max="4" width="3.69921875" style="68" customWidth="1"/>
    <col min="5" max="5" width="21.09765625" style="68" customWidth="1"/>
    <col min="6" max="6" width="9.09765625" style="68"/>
    <col min="7" max="7" width="12.69921875" style="68" customWidth="1"/>
    <col min="8" max="8" width="2" style="68" customWidth="1"/>
    <col min="9" max="9" width="16.296875" style="68" bestFit="1" customWidth="1"/>
    <col min="10" max="14" width="10.69921875" style="68" customWidth="1"/>
    <col min="15" max="16384" width="9.09765625" style="68"/>
  </cols>
  <sheetData>
    <row r="1" spans="1:15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Assumptions</v>
      </c>
      <c r="I1" s="61"/>
      <c r="J1" s="61"/>
    </row>
    <row r="2" spans="1:15" ht="17.5" x14ac:dyDescent="0.35">
      <c r="A2" s="49" t="str">
        <f ca="1">Model_Name</f>
        <v>Go Skills Model 47 - Taxation Part 4 Start.xlsm</v>
      </c>
    </row>
    <row r="3" spans="1:15" x14ac:dyDescent="0.25">
      <c r="A3" s="147" t="s">
        <v>1</v>
      </c>
      <c r="B3" s="61"/>
      <c r="C3" s="61"/>
      <c r="D3" s="61"/>
      <c r="E3" s="61"/>
    </row>
    <row r="4" spans="1:15" ht="14" x14ac:dyDescent="0.3">
      <c r="B4" s="68" t="s">
        <v>2</v>
      </c>
      <c r="F4" s="1">
        <f ca="1">Overall_Error_Check</f>
        <v>0</v>
      </c>
    </row>
    <row r="5" spans="1:15" x14ac:dyDescent="0.25">
      <c r="J5" s="70">
        <f>Timing!J5</f>
        <v>44012</v>
      </c>
      <c r="K5" s="70">
        <f>Timing!K5</f>
        <v>44377</v>
      </c>
      <c r="L5" s="70">
        <f>Timing!L5</f>
        <v>44742</v>
      </c>
      <c r="M5" s="70">
        <f>Timing!M5</f>
        <v>45107</v>
      </c>
      <c r="N5" s="70">
        <f>Timing!N5</f>
        <v>45473</v>
      </c>
    </row>
    <row r="6" spans="1:15" x14ac:dyDescent="0.25">
      <c r="C6" s="68" t="s">
        <v>68</v>
      </c>
      <c r="J6" s="42">
        <f>Timing!J6</f>
        <v>43647</v>
      </c>
      <c r="K6" s="42">
        <f>Timing!K6</f>
        <v>44013</v>
      </c>
      <c r="L6" s="42">
        <f>Timing!L6</f>
        <v>44378</v>
      </c>
      <c r="M6" s="42">
        <f>Timing!M6</f>
        <v>44743</v>
      </c>
      <c r="N6" s="42">
        <f>Timing!N6</f>
        <v>45108</v>
      </c>
    </row>
    <row r="7" spans="1:15" x14ac:dyDescent="0.25">
      <c r="C7" s="68" t="s">
        <v>69</v>
      </c>
      <c r="J7" s="42">
        <f>Timing!J7</f>
        <v>44012</v>
      </c>
      <c r="K7" s="42">
        <f>Timing!K7</f>
        <v>44377</v>
      </c>
      <c r="L7" s="42">
        <f>Timing!L7</f>
        <v>44742</v>
      </c>
      <c r="M7" s="42">
        <f>Timing!M7</f>
        <v>45107</v>
      </c>
      <c r="N7" s="42">
        <f>Timing!N7</f>
        <v>45473</v>
      </c>
    </row>
    <row r="8" spans="1:15" x14ac:dyDescent="0.25">
      <c r="C8" s="68" t="s">
        <v>71</v>
      </c>
      <c r="J8" s="68">
        <f>Timing!J8</f>
        <v>366</v>
      </c>
      <c r="K8" s="68">
        <f>Timing!K8</f>
        <v>365</v>
      </c>
      <c r="L8" s="68">
        <f>Timing!L8</f>
        <v>365</v>
      </c>
      <c r="M8" s="68">
        <f>Timing!M8</f>
        <v>365</v>
      </c>
      <c r="N8" s="68">
        <f>Timing!N8</f>
        <v>366</v>
      </c>
    </row>
    <row r="9" spans="1:15" x14ac:dyDescent="0.25">
      <c r="C9" s="68" t="s">
        <v>70</v>
      </c>
      <c r="J9" s="68">
        <f>Timing!J9</f>
        <v>1</v>
      </c>
      <c r="K9" s="68">
        <f>Timing!K9</f>
        <v>2</v>
      </c>
      <c r="L9" s="68">
        <f>Timing!L9</f>
        <v>3</v>
      </c>
      <c r="M9" s="68">
        <f>Timing!M9</f>
        <v>4</v>
      </c>
      <c r="N9" s="68">
        <f>Timing!N9</f>
        <v>5</v>
      </c>
    </row>
    <row r="11" spans="1:15" ht="16" thickBot="1" x14ac:dyDescent="0.4">
      <c r="B11" s="50">
        <f>MAX($B$10:$B10)+1</f>
        <v>1</v>
      </c>
      <c r="C11" s="44" t="str">
        <f ca="1">A1</f>
        <v>Assumptions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" thickTop="1" x14ac:dyDescent="0.25"/>
    <row r="13" spans="1:15" ht="16.5" x14ac:dyDescent="0.35">
      <c r="C13" s="78" t="s">
        <v>219</v>
      </c>
    </row>
    <row r="15" spans="1:15" ht="14" x14ac:dyDescent="0.3">
      <c r="D15" s="5" t="s">
        <v>220</v>
      </c>
    </row>
    <row r="17" spans="3:14" x14ac:dyDescent="0.25">
      <c r="E17" s="68" t="s">
        <v>221</v>
      </c>
      <c r="G17" s="37" t="str">
        <f>Unit</f>
        <v>#</v>
      </c>
      <c r="J17" s="80">
        <v>100</v>
      </c>
      <c r="K17" s="80">
        <v>200</v>
      </c>
      <c r="L17" s="80">
        <v>300</v>
      </c>
      <c r="M17" s="80">
        <v>400</v>
      </c>
      <c r="N17" s="80">
        <v>500</v>
      </c>
    </row>
    <row r="18" spans="3:14" ht="12" x14ac:dyDescent="0.3">
      <c r="E18" s="68" t="s">
        <v>222</v>
      </c>
      <c r="G18" s="37" t="str">
        <f>Currency</f>
        <v>US$'000</v>
      </c>
      <c r="J18" s="80">
        <v>15</v>
      </c>
      <c r="K18" s="28"/>
      <c r="L18" s="28"/>
      <c r="M18" s="28"/>
      <c r="N18" s="28"/>
    </row>
    <row r="19" spans="3:14" ht="12" x14ac:dyDescent="0.3">
      <c r="E19" s="68" t="s">
        <v>223</v>
      </c>
      <c r="G19" s="37" t="str">
        <f>Percentage</f>
        <v>%</v>
      </c>
      <c r="J19" s="28"/>
      <c r="K19" s="86">
        <v>0.03</v>
      </c>
      <c r="L19" s="86">
        <v>0.04</v>
      </c>
      <c r="M19" s="86">
        <v>0.05</v>
      </c>
      <c r="N19" s="86">
        <v>0.06</v>
      </c>
    </row>
    <row r="20" spans="3:14" x14ac:dyDescent="0.25">
      <c r="G20" s="37"/>
    </row>
    <row r="21" spans="3:14" ht="14" x14ac:dyDescent="0.3">
      <c r="D21" s="5" t="s">
        <v>224</v>
      </c>
      <c r="G21" s="37"/>
    </row>
    <row r="23" spans="3:14" x14ac:dyDescent="0.25">
      <c r="E23" s="68" t="s">
        <v>225</v>
      </c>
      <c r="G23" s="37" t="str">
        <f>No._of_days</f>
        <v># Days</v>
      </c>
      <c r="J23" s="80">
        <v>60</v>
      </c>
      <c r="K23" s="80">
        <v>60</v>
      </c>
      <c r="L23" s="80">
        <v>60</v>
      </c>
      <c r="M23" s="80">
        <v>60</v>
      </c>
      <c r="N23" s="80">
        <v>60</v>
      </c>
    </row>
    <row r="26" spans="3:14" ht="16.5" x14ac:dyDescent="0.35">
      <c r="C26" s="78" t="s">
        <v>231</v>
      </c>
    </row>
    <row r="28" spans="3:14" ht="14" x14ac:dyDescent="0.3">
      <c r="D28" s="5" t="s">
        <v>144</v>
      </c>
    </row>
    <row r="30" spans="3:14" x14ac:dyDescent="0.25">
      <c r="E30" s="68" t="s">
        <v>232</v>
      </c>
      <c r="G30" s="37" t="str">
        <f>Percentage</f>
        <v>%</v>
      </c>
      <c r="J30" s="86">
        <v>0.7</v>
      </c>
      <c r="K30" s="86">
        <v>0.7</v>
      </c>
      <c r="L30" s="86">
        <v>0.7</v>
      </c>
      <c r="M30" s="86">
        <v>0.7</v>
      </c>
      <c r="N30" s="86">
        <v>0.7</v>
      </c>
    </row>
    <row r="32" spans="3:14" ht="14" x14ac:dyDescent="0.3">
      <c r="D32" s="5" t="s">
        <v>224</v>
      </c>
    </row>
    <row r="34" spans="3:14" x14ac:dyDescent="0.25">
      <c r="E34" s="68" t="s">
        <v>233</v>
      </c>
      <c r="G34" s="37" t="str">
        <f>No._of_days</f>
        <v># Days</v>
      </c>
      <c r="J34" s="80">
        <v>90</v>
      </c>
      <c r="K34" s="80">
        <v>90</v>
      </c>
      <c r="L34" s="80">
        <v>90</v>
      </c>
      <c r="M34" s="80">
        <v>90</v>
      </c>
      <c r="N34" s="80">
        <v>90</v>
      </c>
    </row>
    <row r="37" spans="3:14" ht="16.5" x14ac:dyDescent="0.35">
      <c r="C37" s="78" t="s">
        <v>237</v>
      </c>
      <c r="D37" s="89"/>
      <c r="E37" s="89"/>
      <c r="F37" s="89"/>
      <c r="G37" s="37"/>
      <c r="H37" s="89"/>
      <c r="I37" s="89"/>
      <c r="J37" s="89"/>
      <c r="K37" s="89"/>
      <c r="L37" s="89"/>
      <c r="M37" s="89"/>
      <c r="N37" s="89"/>
    </row>
    <row r="38" spans="3:14" x14ac:dyDescent="0.25"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3:14" ht="14" x14ac:dyDescent="0.3">
      <c r="C39" s="89"/>
      <c r="D39" s="5" t="s">
        <v>238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3:14" x14ac:dyDescent="0.25"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3:14" x14ac:dyDescent="0.25">
      <c r="C41" s="89"/>
      <c r="D41" s="89"/>
      <c r="E41" s="89" t="s">
        <v>238</v>
      </c>
      <c r="F41" s="89"/>
      <c r="G41" s="37" t="str">
        <f>Weight</f>
        <v>kg</v>
      </c>
      <c r="H41" s="89"/>
      <c r="I41" s="89"/>
      <c r="J41" s="100">
        <v>400</v>
      </c>
      <c r="K41" s="100">
        <v>775</v>
      </c>
      <c r="L41" s="100">
        <v>325</v>
      </c>
      <c r="M41" s="100">
        <v>550</v>
      </c>
      <c r="N41" s="100">
        <v>1000</v>
      </c>
    </row>
    <row r="42" spans="3:14" x14ac:dyDescent="0.25">
      <c r="C42" s="89"/>
      <c r="D42" s="89"/>
      <c r="E42" s="89" t="s">
        <v>239</v>
      </c>
      <c r="F42" s="89"/>
      <c r="G42" s="37" t="str">
        <f>Price_Weight</f>
        <v>$/kg</v>
      </c>
      <c r="H42" s="89"/>
      <c r="I42" s="89"/>
      <c r="J42" s="100">
        <v>3990</v>
      </c>
      <c r="K42" s="100">
        <v>4750</v>
      </c>
      <c r="L42" s="100">
        <v>2800</v>
      </c>
      <c r="M42" s="100">
        <v>4160</v>
      </c>
      <c r="N42" s="100">
        <v>5000</v>
      </c>
    </row>
    <row r="43" spans="3:14" x14ac:dyDescent="0.25">
      <c r="C43" s="89"/>
      <c r="D43" s="89"/>
      <c r="E43" s="89" t="s">
        <v>240</v>
      </c>
      <c r="F43" s="89"/>
      <c r="G43" s="37" t="str">
        <f>Weight</f>
        <v>kg</v>
      </c>
      <c r="H43" s="89"/>
      <c r="I43" s="89"/>
      <c r="J43" s="99">
        <v>2</v>
      </c>
      <c r="K43" s="99">
        <v>2</v>
      </c>
      <c r="L43" s="99">
        <v>2</v>
      </c>
      <c r="M43" s="99">
        <v>2</v>
      </c>
      <c r="N43" s="99">
        <v>2</v>
      </c>
    </row>
    <row r="44" spans="3:14" x14ac:dyDescent="0.25">
      <c r="C44" s="89"/>
      <c r="D44" s="89"/>
      <c r="E44" s="89" t="s">
        <v>146</v>
      </c>
      <c r="F44" s="89"/>
      <c r="G44" s="37" t="str">
        <f>Percentage</f>
        <v>%</v>
      </c>
      <c r="H44" s="89"/>
      <c r="I44" s="89"/>
      <c r="J44" s="98">
        <v>0.03</v>
      </c>
      <c r="K44" s="98">
        <v>0.02</v>
      </c>
      <c r="L44" s="98">
        <v>0.02</v>
      </c>
      <c r="M44" s="98">
        <v>0.01</v>
      </c>
      <c r="N44" s="98">
        <v>0.01</v>
      </c>
    </row>
    <row r="45" spans="3:14" x14ac:dyDescent="0.25">
      <c r="C45" s="89"/>
      <c r="D45" s="89"/>
      <c r="E45" s="89"/>
      <c r="F45" s="89"/>
      <c r="G45" s="37"/>
      <c r="H45" s="89"/>
      <c r="I45" s="89"/>
      <c r="J45" s="89"/>
      <c r="K45" s="89"/>
      <c r="L45" s="89"/>
      <c r="M45" s="89"/>
      <c r="N45" s="89"/>
    </row>
    <row r="46" spans="3:14" ht="14" x14ac:dyDescent="0.3">
      <c r="C46" s="89"/>
      <c r="D46" s="5" t="s">
        <v>224</v>
      </c>
      <c r="E46" s="89"/>
      <c r="F46" s="89"/>
      <c r="G46" s="37"/>
      <c r="H46" s="89"/>
      <c r="I46" s="89"/>
      <c r="J46" s="89"/>
      <c r="K46" s="89"/>
      <c r="L46" s="89"/>
      <c r="M46" s="89"/>
      <c r="N46" s="89"/>
    </row>
    <row r="47" spans="3:14" x14ac:dyDescent="0.25">
      <c r="C47" s="89"/>
      <c r="D47" s="89"/>
      <c r="E47" s="89"/>
      <c r="F47" s="89"/>
      <c r="G47" s="37"/>
      <c r="H47" s="89"/>
      <c r="I47" s="89"/>
      <c r="J47" s="89"/>
      <c r="K47" s="89"/>
      <c r="L47" s="89"/>
      <c r="M47" s="89"/>
      <c r="N47" s="89"/>
    </row>
    <row r="48" spans="3:14" x14ac:dyDescent="0.25">
      <c r="C48" s="89"/>
      <c r="D48" s="89"/>
      <c r="E48" s="89" t="s">
        <v>233</v>
      </c>
      <c r="F48" s="89"/>
      <c r="G48" s="37" t="str">
        <f>No._of_days</f>
        <v># Days</v>
      </c>
      <c r="H48" s="89"/>
      <c r="I48" s="89"/>
      <c r="J48" s="100">
        <v>30</v>
      </c>
      <c r="K48" s="100">
        <v>30</v>
      </c>
      <c r="L48" s="100">
        <v>30</v>
      </c>
      <c r="M48" s="100">
        <v>30</v>
      </c>
      <c r="N48" s="100">
        <v>30</v>
      </c>
    </row>
    <row r="51" spans="3:14" ht="16.5" x14ac:dyDescent="0.35">
      <c r="C51" s="78" t="s">
        <v>260</v>
      </c>
      <c r="D51" s="89"/>
      <c r="E51" s="89"/>
      <c r="F51" s="89"/>
      <c r="G51" s="37"/>
      <c r="H51" s="89"/>
      <c r="I51" s="89"/>
      <c r="J51" s="89"/>
      <c r="K51" s="89"/>
      <c r="L51" s="89"/>
      <c r="M51" s="89"/>
      <c r="N51" s="89"/>
    </row>
    <row r="52" spans="3:14" x14ac:dyDescent="0.25">
      <c r="C52" s="23" t="s">
        <v>251</v>
      </c>
      <c r="D52" s="89"/>
      <c r="E52" s="89"/>
      <c r="F52" s="89"/>
      <c r="G52" s="37"/>
      <c r="H52" s="89"/>
      <c r="I52" s="89"/>
      <c r="J52" s="89"/>
      <c r="K52" s="89"/>
      <c r="L52" s="89"/>
      <c r="M52" s="89"/>
      <c r="N52" s="89"/>
    </row>
    <row r="53" spans="3:14" x14ac:dyDescent="0.25">
      <c r="C53" s="89"/>
      <c r="D53" s="89"/>
      <c r="E53" s="89"/>
      <c r="F53" s="89"/>
      <c r="G53" s="37"/>
      <c r="H53" s="89"/>
      <c r="I53" s="89"/>
      <c r="J53" s="89"/>
      <c r="K53" s="89"/>
      <c r="L53" s="89"/>
      <c r="M53" s="89"/>
      <c r="N53" s="89"/>
    </row>
    <row r="54" spans="3:14" ht="14" x14ac:dyDescent="0.3">
      <c r="C54" s="89"/>
      <c r="D54" s="5" t="s">
        <v>259</v>
      </c>
      <c r="E54" s="89"/>
      <c r="F54" s="89"/>
      <c r="G54" s="37"/>
      <c r="H54" s="89"/>
      <c r="I54" s="89"/>
      <c r="J54" s="89"/>
      <c r="K54" s="89"/>
      <c r="L54" s="89"/>
      <c r="M54" s="89"/>
      <c r="N54" s="89"/>
    </row>
    <row r="55" spans="3:14" x14ac:dyDescent="0.25">
      <c r="C55" s="89"/>
      <c r="D55" s="89"/>
      <c r="E55" s="89"/>
      <c r="F55" s="89"/>
      <c r="G55" s="37"/>
      <c r="H55" s="89"/>
      <c r="I55" s="89"/>
      <c r="J55" s="89"/>
      <c r="K55" s="89"/>
      <c r="L55" s="89"/>
      <c r="M55" s="89"/>
      <c r="N55" s="89"/>
    </row>
    <row r="56" spans="3:14" x14ac:dyDescent="0.25">
      <c r="C56" s="89"/>
      <c r="D56" s="89"/>
      <c r="E56" s="89" t="s">
        <v>252</v>
      </c>
      <c r="F56" s="89"/>
      <c r="G56" s="37" t="str">
        <f>Year</f>
        <v>Year</v>
      </c>
      <c r="H56" s="89"/>
      <c r="I56" s="113">
        <v>45107</v>
      </c>
      <c r="J56" s="89"/>
      <c r="K56" s="89"/>
      <c r="L56" s="89"/>
      <c r="M56" s="89"/>
      <c r="N56" s="89"/>
    </row>
    <row r="57" spans="3:14" x14ac:dyDescent="0.25">
      <c r="C57" s="89"/>
      <c r="D57" s="89"/>
      <c r="E57" s="89" t="s">
        <v>253</v>
      </c>
      <c r="F57" s="89"/>
      <c r="G57" s="37" t="str">
        <f>Currency</f>
        <v>US$'000</v>
      </c>
      <c r="H57" s="89"/>
      <c r="I57" s="89"/>
      <c r="J57" s="100">
        <v>60</v>
      </c>
      <c r="K57" s="100">
        <v>65</v>
      </c>
      <c r="L57" s="100">
        <v>70</v>
      </c>
      <c r="M57" s="100">
        <v>75</v>
      </c>
      <c r="N57" s="100">
        <v>80</v>
      </c>
    </row>
    <row r="58" spans="3:14" ht="12" x14ac:dyDescent="0.3">
      <c r="C58" s="89"/>
      <c r="D58" s="89"/>
      <c r="E58" s="89" t="s">
        <v>254</v>
      </c>
      <c r="F58" s="89"/>
      <c r="G58" s="37" t="str">
        <f>Percentage</f>
        <v>%</v>
      </c>
      <c r="H58" s="89"/>
      <c r="I58" s="89"/>
      <c r="J58" s="28"/>
      <c r="K58" s="98">
        <v>0.05</v>
      </c>
      <c r="L58" s="98">
        <v>0.04</v>
      </c>
      <c r="M58" s="98">
        <v>0.03</v>
      </c>
      <c r="N58" s="98">
        <v>0.02</v>
      </c>
    </row>
    <row r="61" spans="3:14" ht="16.5" x14ac:dyDescent="0.35">
      <c r="C61" s="78" t="s">
        <v>267</v>
      </c>
    </row>
    <row r="63" spans="3:14" ht="14" x14ac:dyDescent="0.3">
      <c r="D63" s="5" t="s">
        <v>262</v>
      </c>
    </row>
    <row r="65" spans="3:14" x14ac:dyDescent="0.25">
      <c r="E65" s="68" t="s">
        <v>262</v>
      </c>
      <c r="G65" s="37" t="str">
        <f>Currency</f>
        <v>US$'000</v>
      </c>
      <c r="J65" s="80">
        <v>150</v>
      </c>
      <c r="K65" s="80">
        <v>180</v>
      </c>
      <c r="L65" s="80">
        <v>120</v>
      </c>
      <c r="M65" s="80">
        <v>90</v>
      </c>
      <c r="N65" s="80">
        <v>100</v>
      </c>
    </row>
    <row r="67" spans="3:14" ht="14" x14ac:dyDescent="0.3">
      <c r="D67" s="5" t="s">
        <v>263</v>
      </c>
    </row>
    <row r="69" spans="3:14" x14ac:dyDescent="0.25">
      <c r="E69" s="68" t="s">
        <v>264</v>
      </c>
      <c r="G69" s="37" t="str">
        <f>No_of_Years</f>
        <v># Year(s)</v>
      </c>
      <c r="I69" s="120">
        <v>5</v>
      </c>
    </row>
    <row r="70" spans="3:14" x14ac:dyDescent="0.25">
      <c r="E70" s="68" t="s">
        <v>265</v>
      </c>
      <c r="G70" s="37" t="str">
        <f>Percentage</f>
        <v>%</v>
      </c>
      <c r="I70" s="40">
        <f>IF(I69=0,,1/I69)</f>
        <v>0.2</v>
      </c>
    </row>
    <row r="71" spans="3:14" x14ac:dyDescent="0.25">
      <c r="G71" s="37"/>
    </row>
    <row r="72" spans="3:14" x14ac:dyDescent="0.25">
      <c r="E72" s="68" t="s">
        <v>266</v>
      </c>
      <c r="G72" s="37" t="str">
        <f>No_of_Years</f>
        <v># Year(s)</v>
      </c>
      <c r="I72" s="120">
        <v>4</v>
      </c>
    </row>
    <row r="73" spans="3:14" x14ac:dyDescent="0.25">
      <c r="E73" s="68" t="s">
        <v>265</v>
      </c>
      <c r="G73" s="37" t="str">
        <f>Percentage</f>
        <v>%</v>
      </c>
      <c r="I73" s="40">
        <f>IF(I72=0,,1/I72)</f>
        <v>0.25</v>
      </c>
    </row>
    <row r="76" spans="3:14" ht="16.5" x14ac:dyDescent="0.35">
      <c r="C76" s="78" t="s">
        <v>278</v>
      </c>
      <c r="D76" s="119"/>
      <c r="E76" s="119"/>
      <c r="F76" s="119"/>
      <c r="G76" s="37"/>
      <c r="H76" s="119"/>
      <c r="I76" s="119"/>
      <c r="J76" s="119"/>
      <c r="K76" s="119"/>
      <c r="L76" s="119"/>
      <c r="M76" s="119"/>
      <c r="N76" s="119"/>
    </row>
    <row r="77" spans="3:14" x14ac:dyDescent="0.25">
      <c r="C77" s="23" t="s">
        <v>279</v>
      </c>
      <c r="D77" s="119"/>
      <c r="E77" s="119"/>
      <c r="F77" s="119"/>
      <c r="G77" s="37"/>
      <c r="H77" s="119"/>
      <c r="I77" s="119"/>
      <c r="J77" s="119"/>
      <c r="K77" s="119"/>
      <c r="L77" s="119"/>
      <c r="M77" s="119"/>
      <c r="N77" s="119"/>
    </row>
    <row r="78" spans="3:14" x14ac:dyDescent="0.25">
      <c r="C78" s="23" t="s">
        <v>280</v>
      </c>
      <c r="D78" s="119"/>
      <c r="E78" s="119"/>
      <c r="F78" s="119"/>
      <c r="G78" s="37"/>
      <c r="H78" s="119"/>
      <c r="I78" s="119"/>
      <c r="J78" s="119"/>
      <c r="K78" s="119"/>
      <c r="L78" s="119"/>
      <c r="M78" s="119"/>
      <c r="N78" s="119"/>
    </row>
    <row r="79" spans="3:14" x14ac:dyDescent="0.25">
      <c r="C79" s="119"/>
      <c r="D79" s="119"/>
      <c r="E79" s="119"/>
      <c r="F79" s="119"/>
      <c r="G79" s="37"/>
      <c r="H79" s="119"/>
      <c r="I79" s="119"/>
      <c r="J79" s="119"/>
      <c r="K79" s="119"/>
      <c r="L79" s="119"/>
      <c r="M79" s="119"/>
      <c r="N79" s="119"/>
    </row>
    <row r="80" spans="3:14" ht="14" x14ac:dyDescent="0.3">
      <c r="C80" s="119"/>
      <c r="D80" s="5" t="s">
        <v>171</v>
      </c>
      <c r="E80" s="119"/>
      <c r="F80" s="119"/>
      <c r="G80" s="37"/>
      <c r="H80" s="119"/>
      <c r="I80" s="119"/>
      <c r="J80" s="119"/>
      <c r="K80" s="119"/>
      <c r="L80" s="119"/>
      <c r="M80" s="119"/>
      <c r="N80" s="119"/>
    </row>
    <row r="81" spans="3:14" x14ac:dyDescent="0.25">
      <c r="C81" s="119"/>
      <c r="D81" s="119"/>
      <c r="E81" s="119"/>
      <c r="F81" s="119"/>
      <c r="G81" s="37"/>
      <c r="H81" s="119"/>
      <c r="I81" s="119"/>
      <c r="J81" s="119"/>
      <c r="K81" s="119"/>
      <c r="L81" s="119"/>
      <c r="M81" s="119"/>
      <c r="N81" s="119"/>
    </row>
    <row r="82" spans="3:14" x14ac:dyDescent="0.25">
      <c r="C82" s="119"/>
      <c r="D82" s="119"/>
      <c r="E82" s="119" t="s">
        <v>194</v>
      </c>
      <c r="F82" s="119"/>
      <c r="G82" s="37" t="str">
        <f>Currency</f>
        <v>US$'000</v>
      </c>
      <c r="H82" s="119"/>
      <c r="I82" s="119"/>
      <c r="J82" s="100">
        <v>20</v>
      </c>
      <c r="K82" s="100">
        <v>20</v>
      </c>
      <c r="L82" s="100">
        <v>0</v>
      </c>
      <c r="M82" s="100">
        <v>0</v>
      </c>
      <c r="N82" s="100">
        <v>0</v>
      </c>
    </row>
    <row r="83" spans="3:14" x14ac:dyDescent="0.25">
      <c r="C83" s="119"/>
      <c r="D83" s="119"/>
      <c r="E83" s="119" t="s">
        <v>195</v>
      </c>
      <c r="F83" s="119"/>
      <c r="G83" s="37" t="str">
        <f>Currency</f>
        <v>US$'000</v>
      </c>
      <c r="H83" s="119"/>
      <c r="I83" s="119"/>
      <c r="J83" s="100">
        <v>0</v>
      </c>
      <c r="K83" s="100">
        <v>0</v>
      </c>
      <c r="L83" s="100">
        <v>15</v>
      </c>
      <c r="M83" s="100">
        <v>25</v>
      </c>
      <c r="N83" s="100">
        <v>10</v>
      </c>
    </row>
    <row r="84" spans="3:14" x14ac:dyDescent="0.25">
      <c r="C84" s="119"/>
      <c r="D84" s="119"/>
      <c r="E84" s="119"/>
      <c r="F84" s="119"/>
      <c r="G84" s="37"/>
      <c r="H84" s="119"/>
      <c r="I84" s="119"/>
      <c r="J84" s="119"/>
      <c r="K84" s="119"/>
      <c r="L84" s="119"/>
      <c r="M84" s="119"/>
      <c r="N84" s="119"/>
    </row>
    <row r="85" spans="3:14" ht="14" x14ac:dyDescent="0.3">
      <c r="C85" s="119"/>
      <c r="D85" s="5" t="s">
        <v>281</v>
      </c>
      <c r="E85" s="119"/>
      <c r="F85" s="119"/>
      <c r="G85" s="37"/>
      <c r="H85" s="119"/>
      <c r="I85" s="119"/>
      <c r="J85" s="119"/>
      <c r="K85" s="119"/>
      <c r="L85" s="119"/>
      <c r="M85" s="119"/>
      <c r="N85" s="119"/>
    </row>
    <row r="86" spans="3:14" x14ac:dyDescent="0.25">
      <c r="C86" s="119"/>
      <c r="D86" s="119"/>
      <c r="E86" s="119"/>
      <c r="F86" s="119"/>
      <c r="G86" s="37"/>
      <c r="H86" s="119"/>
      <c r="I86" s="119"/>
      <c r="J86" s="119"/>
      <c r="K86" s="119"/>
      <c r="L86" s="119"/>
      <c r="M86" s="119"/>
      <c r="N86" s="119"/>
    </row>
    <row r="87" spans="3:14" x14ac:dyDescent="0.25">
      <c r="C87" s="119"/>
      <c r="D87" s="119"/>
      <c r="E87" s="119" t="s">
        <v>282</v>
      </c>
      <c r="F87" s="119"/>
      <c r="G87" s="37" t="str">
        <f>Percentage</f>
        <v>%</v>
      </c>
      <c r="H87" s="119"/>
      <c r="I87" s="119"/>
      <c r="J87" s="98">
        <v>0.06</v>
      </c>
      <c r="K87" s="98">
        <v>7.0000000000000007E-2</v>
      </c>
      <c r="L87" s="98">
        <v>7.0000000000000007E-2</v>
      </c>
      <c r="M87" s="98">
        <v>0.08</v>
      </c>
      <c r="N87" s="98">
        <v>0.08</v>
      </c>
    </row>
    <row r="88" spans="3:14" x14ac:dyDescent="0.25">
      <c r="C88" s="119"/>
      <c r="D88" s="119"/>
      <c r="E88" s="119"/>
      <c r="F88" s="119"/>
      <c r="G88" s="37"/>
      <c r="H88" s="119"/>
      <c r="I88" s="119"/>
      <c r="J88" s="119"/>
      <c r="K88" s="119"/>
      <c r="L88" s="119"/>
      <c r="M88" s="119"/>
      <c r="N88" s="119"/>
    </row>
    <row r="89" spans="3:14" ht="14" x14ac:dyDescent="0.3">
      <c r="C89" s="119"/>
      <c r="D89" s="5" t="s">
        <v>283</v>
      </c>
      <c r="E89" s="119"/>
      <c r="F89" s="119"/>
      <c r="G89" s="37"/>
      <c r="H89" s="119"/>
      <c r="I89" s="119"/>
      <c r="J89" s="119"/>
      <c r="K89" s="119"/>
      <c r="L89" s="119"/>
      <c r="M89" s="119"/>
      <c r="N89" s="119"/>
    </row>
    <row r="90" spans="3:14" x14ac:dyDescent="0.25">
      <c r="C90" s="119"/>
      <c r="D90" s="119"/>
      <c r="E90" s="119"/>
      <c r="F90" s="119"/>
      <c r="G90" s="37"/>
      <c r="H90" s="119"/>
      <c r="I90" s="119"/>
      <c r="J90" s="119"/>
      <c r="K90" s="119"/>
      <c r="L90" s="119"/>
      <c r="M90" s="119"/>
      <c r="N90" s="119"/>
    </row>
    <row r="91" spans="3:14" x14ac:dyDescent="0.25">
      <c r="C91" s="119"/>
      <c r="D91" s="119"/>
      <c r="E91" s="119" t="s">
        <v>284</v>
      </c>
      <c r="F91" s="119"/>
      <c r="G91" s="37" t="str">
        <f>Percentage</f>
        <v>%</v>
      </c>
      <c r="H91" s="119"/>
      <c r="I91" s="119"/>
      <c r="J91" s="98">
        <v>0.01</v>
      </c>
      <c r="K91" s="98">
        <v>0.01</v>
      </c>
      <c r="L91" s="98">
        <v>0.01</v>
      </c>
      <c r="M91" s="98">
        <v>0.01</v>
      </c>
      <c r="N91" s="98">
        <v>0.01</v>
      </c>
    </row>
    <row r="92" spans="3:14" x14ac:dyDescent="0.25">
      <c r="C92" s="119"/>
      <c r="D92" s="119"/>
      <c r="E92" s="119"/>
      <c r="F92" s="119"/>
      <c r="G92" s="37"/>
      <c r="H92" s="119"/>
      <c r="I92" s="119"/>
      <c r="J92" s="119"/>
      <c r="K92" s="119"/>
      <c r="L92" s="119"/>
      <c r="M92" s="119"/>
      <c r="N92" s="119"/>
    </row>
    <row r="93" spans="3:14" x14ac:dyDescent="0.25">
      <c r="C93" s="119"/>
      <c r="D93" s="119"/>
      <c r="E93" s="119" t="s">
        <v>285</v>
      </c>
      <c r="F93" s="119"/>
      <c r="G93" s="37" t="str">
        <f>Percentage</f>
        <v>%</v>
      </c>
      <c r="H93" s="119"/>
      <c r="I93" s="98">
        <v>0.5</v>
      </c>
      <c r="J93" s="119"/>
      <c r="K93" s="119"/>
      <c r="L93" s="119"/>
      <c r="M93" s="119"/>
      <c r="N93" s="119"/>
    </row>
    <row r="96" spans="3:14" ht="16.5" x14ac:dyDescent="0.35">
      <c r="C96" s="78" t="s">
        <v>301</v>
      </c>
    </row>
    <row r="98" spans="4:14" ht="14" x14ac:dyDescent="0.3">
      <c r="D98" s="5" t="s">
        <v>296</v>
      </c>
    </row>
    <row r="100" spans="4:14" x14ac:dyDescent="0.25">
      <c r="E100" s="68" t="s">
        <v>296</v>
      </c>
      <c r="G100" s="37" t="str">
        <f>Percentage</f>
        <v>%</v>
      </c>
      <c r="I100" s="98">
        <v>0.3</v>
      </c>
    </row>
    <row r="102" spans="4:14" ht="14" x14ac:dyDescent="0.3">
      <c r="D102" s="5" t="s">
        <v>302</v>
      </c>
    </row>
    <row r="104" spans="4:14" x14ac:dyDescent="0.25">
      <c r="E104" s="68" t="s">
        <v>303</v>
      </c>
      <c r="G104" s="37" t="str">
        <f>Currency</f>
        <v>US$'000</v>
      </c>
      <c r="J104" s="80">
        <v>25</v>
      </c>
      <c r="K104" s="80">
        <v>25</v>
      </c>
      <c r="L104" s="80">
        <v>25</v>
      </c>
      <c r="M104" s="80">
        <v>25</v>
      </c>
      <c r="N104" s="80">
        <v>25</v>
      </c>
    </row>
    <row r="105" spans="4:14" x14ac:dyDescent="0.25">
      <c r="E105" s="68" t="s">
        <v>304</v>
      </c>
      <c r="G105" s="37" t="str">
        <f>Currency</f>
        <v>US$'000</v>
      </c>
      <c r="J105" s="80">
        <v>40</v>
      </c>
      <c r="K105" s="80">
        <v>16</v>
      </c>
      <c r="L105" s="80">
        <v>25</v>
      </c>
      <c r="M105" s="80">
        <v>30</v>
      </c>
      <c r="N105" s="80">
        <v>50</v>
      </c>
    </row>
    <row r="107" spans="4:14" ht="14" x14ac:dyDescent="0.3">
      <c r="D107" s="5" t="s">
        <v>305</v>
      </c>
    </row>
    <row r="109" spans="4:14" x14ac:dyDescent="0.25">
      <c r="E109" s="68" t="s">
        <v>306</v>
      </c>
      <c r="G109" s="37" t="str">
        <f>Multiplier</f>
        <v>x</v>
      </c>
      <c r="I109" s="134">
        <v>2</v>
      </c>
    </row>
    <row r="111" spans="4:14" x14ac:dyDescent="0.25">
      <c r="E111" s="68" t="s">
        <v>307</v>
      </c>
      <c r="G111" s="37" t="str">
        <f>No_of_Years</f>
        <v># Year(s)</v>
      </c>
      <c r="I111" s="120">
        <v>5</v>
      </c>
    </row>
    <row r="112" spans="4:14" x14ac:dyDescent="0.25">
      <c r="E112" s="68" t="s">
        <v>265</v>
      </c>
      <c r="G112" s="37" t="str">
        <f>Percentage</f>
        <v>%</v>
      </c>
      <c r="I112" s="40">
        <f>IF(I111=0,,$I$109/I111)</f>
        <v>0.4</v>
      </c>
    </row>
    <row r="114" spans="4:9" x14ac:dyDescent="0.25">
      <c r="E114" s="68" t="s">
        <v>308</v>
      </c>
      <c r="G114" s="37" t="str">
        <f>No_of_Years</f>
        <v># Year(s)</v>
      </c>
      <c r="I114" s="120">
        <v>4</v>
      </c>
    </row>
    <row r="115" spans="4:9" x14ac:dyDescent="0.25">
      <c r="E115" s="68" t="s">
        <v>265</v>
      </c>
      <c r="G115" s="37" t="str">
        <f>Percentage</f>
        <v>%</v>
      </c>
      <c r="I115" s="40">
        <f>IF(I114=0,,$I$109/I114)</f>
        <v>0.5</v>
      </c>
    </row>
    <row r="117" spans="4:9" ht="14" x14ac:dyDescent="0.3">
      <c r="D117" s="5" t="s">
        <v>309</v>
      </c>
    </row>
    <row r="118" spans="4:9" x14ac:dyDescent="0.25">
      <c r="D118" s="23" t="s">
        <v>310</v>
      </c>
    </row>
    <row r="120" spans="4:9" x14ac:dyDescent="0.25">
      <c r="E120" s="68" t="s">
        <v>309</v>
      </c>
      <c r="G120" s="37" t="str">
        <f>Currency</f>
        <v>US$'000</v>
      </c>
      <c r="I120" s="91">
        <f>'Opening Balance Sheet'!$I$22</f>
        <v>0</v>
      </c>
    </row>
    <row r="122" spans="4:9" ht="14" x14ac:dyDescent="0.3">
      <c r="D122" s="5" t="s">
        <v>311</v>
      </c>
    </row>
    <row r="123" spans="4:9" x14ac:dyDescent="0.25">
      <c r="D123" s="23" t="s">
        <v>312</v>
      </c>
    </row>
    <row r="125" spans="4:9" x14ac:dyDescent="0.25">
      <c r="E125" s="68" t="s">
        <v>311</v>
      </c>
      <c r="G125" s="37" t="str">
        <f>Currency</f>
        <v>US$'000</v>
      </c>
      <c r="I125" s="91">
        <f>'Opening Balance Sheet'!$I$37</f>
        <v>0</v>
      </c>
    </row>
    <row r="127" spans="4:9" ht="14" x14ac:dyDescent="0.3">
      <c r="D127" s="5" t="s">
        <v>313</v>
      </c>
    </row>
    <row r="129" spans="5:9" x14ac:dyDescent="0.25">
      <c r="E129" s="68" t="s">
        <v>314</v>
      </c>
      <c r="G129" s="37" t="str">
        <f>No_of_Years</f>
        <v># Year(s)</v>
      </c>
      <c r="I129" s="120">
        <v>1</v>
      </c>
    </row>
  </sheetData>
  <conditionalFormatting sqref="F4">
    <cfRule type="cellIs" dxfId="24" priority="7" operator="notEqual">
      <formula>0</formula>
    </cfRule>
  </conditionalFormatting>
  <conditionalFormatting sqref="K58:N58">
    <cfRule type="expression" dxfId="23" priority="2">
      <formula>$I$56&gt;K$7</formula>
    </cfRule>
  </conditionalFormatting>
  <conditionalFormatting sqref="J57:N57">
    <cfRule type="expression" dxfId="22" priority="1">
      <formula>$I$56&lt;=J$7</formula>
    </cfRule>
  </conditionalFormatting>
  <dataValidations count="1">
    <dataValidation type="list" allowBlank="1" showInputMessage="1" showErrorMessage="1" sqref="I56">
      <formula1>LU_Future_Years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/>
    <pageSetUpPr fitToPage="1"/>
  </sheetPr>
  <dimension ref="A1:O362"/>
  <sheetViews>
    <sheetView zoomScaleNormal="100" workbookViewId="0">
      <pane ySplit="9" topLeftCell="A10" activePane="bottomLeft" state="frozen"/>
      <selection activeCell="D42" sqref="D42"/>
      <selection pane="bottomLeft" activeCell="A10" sqref="A10"/>
    </sheetView>
  </sheetViews>
  <sheetFormatPr defaultColWidth="9.09765625" defaultRowHeight="11.5" x14ac:dyDescent="0.25"/>
  <cols>
    <col min="1" max="4" width="3.69921875" style="68" customWidth="1"/>
    <col min="5" max="5" width="28.3984375" style="68" customWidth="1"/>
    <col min="6" max="6" width="9.09765625" style="68"/>
    <col min="7" max="7" width="12.69921875" style="68" customWidth="1"/>
    <col min="8" max="8" width="8.59765625" style="68" customWidth="1"/>
    <col min="9" max="9" width="15.3984375" style="68" customWidth="1"/>
    <col min="10" max="14" width="10.69921875" style="68" customWidth="1"/>
    <col min="15" max="15" width="10.3984375" style="68" bestFit="1" customWidth="1"/>
    <col min="16" max="16384" width="9.09765625" style="68"/>
  </cols>
  <sheetData>
    <row r="1" spans="1:15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Calculations</v>
      </c>
      <c r="I1" s="61"/>
      <c r="J1" s="61"/>
    </row>
    <row r="2" spans="1:15" ht="17.5" x14ac:dyDescent="0.35">
      <c r="A2" s="49" t="str">
        <f ca="1">Model_Name</f>
        <v>Go Skills Model 47 - Taxation Part 4 Start.xlsm</v>
      </c>
    </row>
    <row r="3" spans="1:15" x14ac:dyDescent="0.25">
      <c r="A3" s="147" t="s">
        <v>1</v>
      </c>
      <c r="B3" s="61"/>
      <c r="C3" s="61"/>
      <c r="D3" s="61"/>
      <c r="E3" s="61"/>
    </row>
    <row r="4" spans="1:15" ht="14" x14ac:dyDescent="0.3">
      <c r="B4" s="68" t="s">
        <v>2</v>
      </c>
      <c r="F4" s="1">
        <f ca="1">Overall_Error_Check</f>
        <v>0</v>
      </c>
    </row>
    <row r="5" spans="1:15" x14ac:dyDescent="0.25">
      <c r="J5" s="70">
        <f>Timing!J5</f>
        <v>44012</v>
      </c>
      <c r="K5" s="70">
        <f>Timing!K5</f>
        <v>44377</v>
      </c>
      <c r="L5" s="70">
        <f>Timing!L5</f>
        <v>44742</v>
      </c>
      <c r="M5" s="70">
        <f>Timing!M5</f>
        <v>45107</v>
      </c>
      <c r="N5" s="70">
        <f>Timing!N5</f>
        <v>45473</v>
      </c>
    </row>
    <row r="6" spans="1:15" x14ac:dyDescent="0.25">
      <c r="C6" s="68" t="s">
        <v>68</v>
      </c>
      <c r="J6" s="42">
        <f>Timing!J6</f>
        <v>43647</v>
      </c>
      <c r="K6" s="42">
        <f>Timing!K6</f>
        <v>44013</v>
      </c>
      <c r="L6" s="42">
        <f>Timing!L6</f>
        <v>44378</v>
      </c>
      <c r="M6" s="42">
        <f>Timing!M6</f>
        <v>44743</v>
      </c>
      <c r="N6" s="42">
        <f>Timing!N6</f>
        <v>45108</v>
      </c>
    </row>
    <row r="7" spans="1:15" x14ac:dyDescent="0.25">
      <c r="C7" s="68" t="s">
        <v>69</v>
      </c>
      <c r="J7" s="42">
        <f>Timing!J7</f>
        <v>44012</v>
      </c>
      <c r="K7" s="42">
        <f>Timing!K7</f>
        <v>44377</v>
      </c>
      <c r="L7" s="42">
        <f>Timing!L7</f>
        <v>44742</v>
      </c>
      <c r="M7" s="42">
        <f>Timing!M7</f>
        <v>45107</v>
      </c>
      <c r="N7" s="42">
        <f>Timing!N7</f>
        <v>45473</v>
      </c>
    </row>
    <row r="8" spans="1:15" x14ac:dyDescent="0.25">
      <c r="C8" s="68" t="s">
        <v>71</v>
      </c>
      <c r="J8" s="68">
        <f>Timing!J8</f>
        <v>366</v>
      </c>
      <c r="K8" s="68">
        <f>Timing!K8</f>
        <v>365</v>
      </c>
      <c r="L8" s="68">
        <f>Timing!L8</f>
        <v>365</v>
      </c>
      <c r="M8" s="68">
        <f>Timing!M8</f>
        <v>365</v>
      </c>
      <c r="N8" s="68">
        <f>Timing!N8</f>
        <v>366</v>
      </c>
    </row>
    <row r="9" spans="1:15" x14ac:dyDescent="0.25">
      <c r="C9" s="68" t="s">
        <v>70</v>
      </c>
      <c r="J9" s="68">
        <f>Timing!J9</f>
        <v>1</v>
      </c>
      <c r="K9" s="68">
        <f>Timing!K9</f>
        <v>2</v>
      </c>
      <c r="L9" s="68">
        <f>Timing!L9</f>
        <v>3</v>
      </c>
      <c r="M9" s="68">
        <f>Timing!M9</f>
        <v>4</v>
      </c>
      <c r="N9" s="68">
        <f>Timing!N9</f>
        <v>5</v>
      </c>
    </row>
    <row r="11" spans="1:15" ht="16" thickBot="1" x14ac:dyDescent="0.4">
      <c r="B11" s="50">
        <f>MAX($B$10:$B10)+1</f>
        <v>1</v>
      </c>
      <c r="C11" s="44" t="str">
        <f ca="1">A1</f>
        <v>Calculations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" thickTop="1" x14ac:dyDescent="0.25"/>
    <row r="13" spans="1:15" ht="16.5" x14ac:dyDescent="0.35">
      <c r="C13" s="78" t="str">
        <f>Assumptions!C13</f>
        <v>Revenue and related</v>
      </c>
    </row>
    <row r="15" spans="1:15" ht="14" x14ac:dyDescent="0.3">
      <c r="D15" s="5" t="str">
        <f>Assumptions!D15</f>
        <v>Sales</v>
      </c>
    </row>
    <row r="17" spans="4:14" x14ac:dyDescent="0.25">
      <c r="E17" s="68" t="str">
        <f>Assumptions!E17</f>
        <v>Projected sales</v>
      </c>
      <c r="G17" s="37" t="str">
        <f>Unit</f>
        <v>#</v>
      </c>
      <c r="J17" s="91">
        <f>Assumptions!J17</f>
        <v>100</v>
      </c>
      <c r="K17" s="91">
        <f>Assumptions!K17</f>
        <v>200</v>
      </c>
      <c r="L17" s="91">
        <f>Assumptions!L17</f>
        <v>300</v>
      </c>
      <c r="M17" s="91">
        <f>Assumptions!M17</f>
        <v>400</v>
      </c>
      <c r="N17" s="91">
        <f>Assumptions!N17</f>
        <v>500</v>
      </c>
    </row>
    <row r="18" spans="4:14" ht="12" x14ac:dyDescent="0.3">
      <c r="E18" s="68" t="str">
        <f>Assumptions!E18</f>
        <v>Unit price</v>
      </c>
      <c r="G18" s="37" t="str">
        <f>Currency</f>
        <v>US$'000</v>
      </c>
      <c r="J18" s="91">
        <f>Assumptions!J18</f>
        <v>15</v>
      </c>
      <c r="K18" s="28"/>
      <c r="L18" s="28"/>
      <c r="M18" s="28"/>
      <c r="N18" s="28"/>
    </row>
    <row r="19" spans="4:14" ht="12" x14ac:dyDescent="0.3">
      <c r="E19" s="68" t="str">
        <f>Assumptions!E19</f>
        <v>Inflation</v>
      </c>
      <c r="G19" s="37" t="str">
        <f>Percentage</f>
        <v>%</v>
      </c>
      <c r="J19" s="28"/>
      <c r="K19" s="87">
        <f>Assumptions!K19</f>
        <v>0.03</v>
      </c>
      <c r="L19" s="87">
        <f>Assumptions!L19</f>
        <v>0.04</v>
      </c>
      <c r="M19" s="87">
        <f>Assumptions!M19</f>
        <v>0.05</v>
      </c>
      <c r="N19" s="87">
        <f>Assumptions!N19</f>
        <v>0.06</v>
      </c>
    </row>
    <row r="21" spans="4:14" x14ac:dyDescent="0.25">
      <c r="E21" s="68" t="s">
        <v>226</v>
      </c>
      <c r="G21" s="37" t="str">
        <f>G18</f>
        <v>US$'000</v>
      </c>
      <c r="J21" s="39">
        <f>IF(J$9=1,$J$18,I21*(1+J19))</f>
        <v>15</v>
      </c>
      <c r="K21" s="39">
        <f t="shared" ref="K21:N21" si="0">IF(K$9=1,$J$18,J21*(1+K19))</f>
        <v>15.450000000000001</v>
      </c>
      <c r="L21" s="39">
        <f t="shared" si="0"/>
        <v>16.068000000000001</v>
      </c>
      <c r="M21" s="39">
        <f t="shared" si="0"/>
        <v>16.871400000000001</v>
      </c>
      <c r="N21" s="39">
        <f t="shared" si="0"/>
        <v>17.883684000000002</v>
      </c>
    </row>
    <row r="23" spans="4:14" x14ac:dyDescent="0.25">
      <c r="E23" s="68" t="s">
        <v>143</v>
      </c>
      <c r="G23" s="37" t="str">
        <f>Currency</f>
        <v>US$'000</v>
      </c>
      <c r="J23" s="39">
        <f>J17*J21</f>
        <v>1500</v>
      </c>
      <c r="K23" s="39">
        <f t="shared" ref="K23:N23" si="1">K17*K21</f>
        <v>3090</v>
      </c>
      <c r="L23" s="39">
        <f t="shared" si="1"/>
        <v>4820.4000000000005</v>
      </c>
      <c r="M23" s="39">
        <f t="shared" si="1"/>
        <v>6748.56</v>
      </c>
      <c r="N23" s="39">
        <f t="shared" si="1"/>
        <v>8941.8420000000006</v>
      </c>
    </row>
    <row r="25" spans="4:14" ht="14" x14ac:dyDescent="0.3">
      <c r="D25" s="5" t="s">
        <v>224</v>
      </c>
    </row>
    <row r="27" spans="4:14" x14ac:dyDescent="0.25">
      <c r="E27" s="68" t="s">
        <v>225</v>
      </c>
      <c r="G27" s="37" t="str">
        <f>No._of_days</f>
        <v># Days</v>
      </c>
      <c r="J27" s="91">
        <f>Assumptions!J23</f>
        <v>60</v>
      </c>
      <c r="K27" s="91">
        <f>Assumptions!K23</f>
        <v>60</v>
      </c>
      <c r="L27" s="91">
        <f>Assumptions!L23</f>
        <v>60</v>
      </c>
      <c r="M27" s="91">
        <f>Assumptions!M23</f>
        <v>60</v>
      </c>
      <c r="N27" s="91">
        <f>Assumptions!N23</f>
        <v>60</v>
      </c>
    </row>
    <row r="29" spans="4:14" x14ac:dyDescent="0.25">
      <c r="E29" s="68" t="s">
        <v>227</v>
      </c>
      <c r="G29" s="37" t="str">
        <f>No._of_days</f>
        <v># Days</v>
      </c>
      <c r="J29" s="39">
        <f>J$8</f>
        <v>366</v>
      </c>
      <c r="K29" s="39">
        <f t="shared" ref="K29:N29" si="2">K$8</f>
        <v>365</v>
      </c>
      <c r="L29" s="39">
        <f t="shared" si="2"/>
        <v>365</v>
      </c>
      <c r="M29" s="39">
        <f t="shared" si="2"/>
        <v>365</v>
      </c>
      <c r="N29" s="39">
        <f t="shared" si="2"/>
        <v>366</v>
      </c>
    </row>
    <row r="30" spans="4:14" x14ac:dyDescent="0.25">
      <c r="G30" s="37"/>
    </row>
    <row r="31" spans="4:14" x14ac:dyDescent="0.25">
      <c r="E31" s="68" t="s">
        <v>228</v>
      </c>
      <c r="G31" s="37" t="str">
        <f>Currency</f>
        <v>US$'000</v>
      </c>
      <c r="J31" s="39">
        <f>J23*J27/J29</f>
        <v>245.90163934426229</v>
      </c>
      <c r="K31" s="39">
        <f t="shared" ref="K31:N31" si="3">K23*K27/K29</f>
        <v>507.94520547945206</v>
      </c>
      <c r="L31" s="39">
        <f t="shared" si="3"/>
        <v>792.39452054794538</v>
      </c>
      <c r="M31" s="39">
        <f t="shared" si="3"/>
        <v>1109.3523287671235</v>
      </c>
      <c r="N31" s="39">
        <f t="shared" si="3"/>
        <v>1465.875737704918</v>
      </c>
    </row>
    <row r="33" spans="3:15" ht="14" x14ac:dyDescent="0.3">
      <c r="D33" s="5" t="s">
        <v>229</v>
      </c>
    </row>
    <row r="35" spans="3:15" ht="14.5" x14ac:dyDescent="0.35">
      <c r="E35" s="68" t="s">
        <v>230</v>
      </c>
      <c r="G35" s="37" t="str">
        <f>Currency</f>
        <v>US$'000</v>
      </c>
      <c r="I35" s="39"/>
      <c r="J35" s="39">
        <f>I38</f>
        <v>0</v>
      </c>
      <c r="K35" s="39">
        <f t="shared" ref="K35:N35" si="4">J38</f>
        <v>245.90163934426229</v>
      </c>
      <c r="L35" s="39">
        <f t="shared" si="4"/>
        <v>507.94520547945206</v>
      </c>
      <c r="M35" s="39">
        <f t="shared" si="4"/>
        <v>792.39452054794538</v>
      </c>
      <c r="N35" s="39">
        <f t="shared" si="4"/>
        <v>1109.3523287671235</v>
      </c>
      <c r="O35" s="93" t="s">
        <v>109</v>
      </c>
    </row>
    <row r="36" spans="3:15" ht="14.5" x14ac:dyDescent="0.35">
      <c r="E36" s="68" t="s">
        <v>143</v>
      </c>
      <c r="G36" s="37" t="str">
        <f>Currency</f>
        <v>US$'000</v>
      </c>
      <c r="I36" s="39"/>
      <c r="J36" s="39">
        <f>J23</f>
        <v>1500</v>
      </c>
      <c r="K36" s="39">
        <f t="shared" ref="K36:N36" si="5">K23</f>
        <v>3090</v>
      </c>
      <c r="L36" s="39">
        <f t="shared" si="5"/>
        <v>4820.4000000000005</v>
      </c>
      <c r="M36" s="39">
        <f t="shared" si="5"/>
        <v>6748.56</v>
      </c>
      <c r="N36" s="39">
        <f t="shared" si="5"/>
        <v>8941.8420000000006</v>
      </c>
      <c r="O36" s="93" t="s">
        <v>108</v>
      </c>
    </row>
    <row r="37" spans="3:15" ht="14.5" x14ac:dyDescent="0.35">
      <c r="E37" s="68" t="s">
        <v>182</v>
      </c>
      <c r="G37" s="37" t="str">
        <f>Currency</f>
        <v>US$'000</v>
      </c>
      <c r="I37" s="39"/>
      <c r="J37" s="39">
        <f>J38-SUM(J35:J36)</f>
        <v>-1254.0983606557377</v>
      </c>
      <c r="K37" s="39">
        <f t="shared" ref="K37:N37" si="6">K38-SUM(K35:K36)</f>
        <v>-2827.9564338648102</v>
      </c>
      <c r="L37" s="39">
        <f t="shared" si="6"/>
        <v>-4535.9506849315076</v>
      </c>
      <c r="M37" s="39">
        <f t="shared" si="6"/>
        <v>-6431.602191780823</v>
      </c>
      <c r="N37" s="39">
        <f t="shared" si="6"/>
        <v>-8585.3185910622051</v>
      </c>
      <c r="O37" s="93" t="s">
        <v>110</v>
      </c>
    </row>
    <row r="38" spans="3:15" ht="14.5" x14ac:dyDescent="0.35">
      <c r="E38" s="68" t="s">
        <v>228</v>
      </c>
      <c r="G38" s="37" t="str">
        <f>Currency</f>
        <v>US$'000</v>
      </c>
      <c r="I38" s="92">
        <f>'Opening Balance Sheet'!$I$15</f>
        <v>0</v>
      </c>
      <c r="J38" s="94">
        <f>J31</f>
        <v>245.90163934426229</v>
      </c>
      <c r="K38" s="72">
        <f t="shared" ref="K38:N38" si="7">K31</f>
        <v>507.94520547945206</v>
      </c>
      <c r="L38" s="72">
        <f t="shared" si="7"/>
        <v>792.39452054794538</v>
      </c>
      <c r="M38" s="72">
        <f t="shared" si="7"/>
        <v>1109.3523287671235</v>
      </c>
      <c r="N38" s="72">
        <f t="shared" si="7"/>
        <v>1465.875737704918</v>
      </c>
      <c r="O38" s="93" t="s">
        <v>109</v>
      </c>
    </row>
    <row r="41" spans="3:15" ht="16.5" x14ac:dyDescent="0.35">
      <c r="C41" s="78" t="s">
        <v>231</v>
      </c>
      <c r="D41" s="69"/>
      <c r="E41" s="69"/>
      <c r="F41" s="69"/>
      <c r="G41" s="37"/>
      <c r="H41" s="69"/>
      <c r="I41" s="69"/>
      <c r="J41" s="69"/>
      <c r="K41" s="69"/>
      <c r="L41" s="69"/>
      <c r="M41" s="69"/>
      <c r="N41" s="69"/>
      <c r="O41" s="37"/>
    </row>
    <row r="42" spans="3:15" x14ac:dyDescent="0.25">
      <c r="C42" s="69"/>
      <c r="D42" s="69"/>
      <c r="E42" s="69"/>
      <c r="F42" s="69"/>
      <c r="G42" s="37"/>
      <c r="H42" s="69"/>
      <c r="I42" s="69"/>
      <c r="J42" s="69"/>
      <c r="K42" s="69"/>
      <c r="L42" s="69"/>
      <c r="M42" s="69"/>
      <c r="N42" s="69"/>
      <c r="O42" s="37"/>
    </row>
    <row r="43" spans="3:15" ht="14" x14ac:dyDescent="0.3">
      <c r="C43" s="69"/>
      <c r="D43" s="5" t="s">
        <v>144</v>
      </c>
      <c r="E43" s="69"/>
      <c r="F43" s="69"/>
      <c r="G43" s="37"/>
      <c r="H43" s="69"/>
      <c r="I43" s="69"/>
      <c r="J43" s="69"/>
      <c r="K43" s="69"/>
      <c r="L43" s="69"/>
      <c r="M43" s="69"/>
      <c r="N43" s="69"/>
      <c r="O43" s="37"/>
    </row>
    <row r="44" spans="3:15" ht="14" x14ac:dyDescent="0.3">
      <c r="C44" s="69"/>
      <c r="D44" s="5"/>
      <c r="E44" s="69"/>
      <c r="F44" s="69"/>
      <c r="G44" s="37"/>
      <c r="H44" s="69"/>
      <c r="I44" s="69"/>
      <c r="J44" s="69"/>
      <c r="K44" s="69"/>
      <c r="L44" s="69"/>
      <c r="M44" s="69"/>
      <c r="N44" s="69"/>
      <c r="O44" s="37"/>
    </row>
    <row r="45" spans="3:15" ht="14" x14ac:dyDescent="0.3">
      <c r="C45" s="69"/>
      <c r="D45" s="5"/>
      <c r="E45" s="69" t="s">
        <v>143</v>
      </c>
      <c r="F45" s="69"/>
      <c r="G45" s="37" t="str">
        <f>Currency</f>
        <v>US$'000</v>
      </c>
      <c r="H45" s="35" t="str">
        <f>"Row "&amp;ROW(J23)</f>
        <v>Row 23</v>
      </c>
      <c r="I45" s="39"/>
      <c r="J45" s="39">
        <f>J23</f>
        <v>1500</v>
      </c>
      <c r="K45" s="39">
        <f t="shared" ref="K45:N45" si="8">K23</f>
        <v>3090</v>
      </c>
      <c r="L45" s="39">
        <f t="shared" si="8"/>
        <v>4820.4000000000005</v>
      </c>
      <c r="M45" s="39">
        <f t="shared" si="8"/>
        <v>6748.56</v>
      </c>
      <c r="N45" s="39">
        <f t="shared" si="8"/>
        <v>8941.8420000000006</v>
      </c>
      <c r="O45" s="37"/>
    </row>
    <row r="46" spans="3:15" ht="14" x14ac:dyDescent="0.3">
      <c r="C46" s="69"/>
      <c r="D46" s="5"/>
      <c r="E46" s="69" t="s">
        <v>232</v>
      </c>
      <c r="F46" s="69"/>
      <c r="G46" s="37" t="str">
        <f>Percentage</f>
        <v>%</v>
      </c>
      <c r="H46" s="69"/>
      <c r="I46" s="39"/>
      <c r="J46" s="96">
        <f>Assumptions!J30</f>
        <v>0.7</v>
      </c>
      <c r="K46" s="96">
        <f>Assumptions!K30</f>
        <v>0.7</v>
      </c>
      <c r="L46" s="96">
        <f>Assumptions!L30</f>
        <v>0.7</v>
      </c>
      <c r="M46" s="96">
        <f>Assumptions!M30</f>
        <v>0.7</v>
      </c>
      <c r="N46" s="96">
        <f>Assumptions!N30</f>
        <v>0.7</v>
      </c>
      <c r="O46" s="37"/>
    </row>
    <row r="47" spans="3:15" ht="14" x14ac:dyDescent="0.3">
      <c r="C47" s="69"/>
      <c r="D47" s="5"/>
      <c r="E47" s="69" t="s">
        <v>234</v>
      </c>
      <c r="F47" s="69"/>
      <c r="G47" s="37" t="str">
        <f>Currency</f>
        <v>US$'000</v>
      </c>
      <c r="H47" s="69"/>
      <c r="I47" s="39"/>
      <c r="J47" s="39">
        <f>J45*J46</f>
        <v>1050</v>
      </c>
      <c r="K47" s="39">
        <f t="shared" ref="K47:N47" si="9">K45*K46</f>
        <v>2163</v>
      </c>
      <c r="L47" s="39">
        <f t="shared" si="9"/>
        <v>3374.28</v>
      </c>
      <c r="M47" s="39">
        <f t="shared" si="9"/>
        <v>4723.9920000000002</v>
      </c>
      <c r="N47" s="39">
        <f t="shared" si="9"/>
        <v>6259.2893999999997</v>
      </c>
      <c r="O47" s="37"/>
    </row>
    <row r="48" spans="3:15" ht="14" x14ac:dyDescent="0.3">
      <c r="C48" s="69"/>
      <c r="D48" s="5"/>
      <c r="E48" s="69"/>
      <c r="F48" s="69"/>
      <c r="G48" s="37"/>
      <c r="H48" s="69"/>
      <c r="I48" s="39"/>
      <c r="J48" s="39"/>
      <c r="K48" s="39"/>
      <c r="L48" s="39"/>
      <c r="M48" s="39"/>
      <c r="N48" s="39"/>
      <c r="O48" s="37"/>
    </row>
    <row r="49" spans="3:15" ht="14" x14ac:dyDescent="0.3">
      <c r="C49" s="69"/>
      <c r="D49" s="5"/>
      <c r="E49" s="95" t="s">
        <v>144</v>
      </c>
      <c r="F49" s="69"/>
      <c r="G49" s="37" t="str">
        <f>Currency</f>
        <v>US$'000</v>
      </c>
      <c r="H49" s="69"/>
      <c r="I49" s="39"/>
      <c r="J49" s="39">
        <f>J45-J47</f>
        <v>450</v>
      </c>
      <c r="K49" s="39">
        <f t="shared" ref="K49:N49" si="10">K45-K47</f>
        <v>927</v>
      </c>
      <c r="L49" s="39">
        <f t="shared" si="10"/>
        <v>1446.1200000000003</v>
      </c>
      <c r="M49" s="39">
        <f t="shared" si="10"/>
        <v>2024.5680000000002</v>
      </c>
      <c r="N49" s="39">
        <f t="shared" si="10"/>
        <v>2682.5526000000009</v>
      </c>
      <c r="O49" s="37"/>
    </row>
    <row r="50" spans="3:15" ht="14" x14ac:dyDescent="0.3">
      <c r="C50" s="69"/>
      <c r="D50" s="5"/>
      <c r="E50" s="69"/>
      <c r="F50" s="69"/>
      <c r="G50" s="37"/>
      <c r="H50" s="69"/>
      <c r="I50" s="39"/>
      <c r="J50" s="39"/>
      <c r="K50" s="39"/>
      <c r="L50" s="39"/>
      <c r="M50" s="39"/>
      <c r="N50" s="39"/>
      <c r="O50" s="37"/>
    </row>
    <row r="51" spans="3:15" ht="14" x14ac:dyDescent="0.3">
      <c r="C51" s="69"/>
      <c r="D51" s="5" t="s">
        <v>224</v>
      </c>
      <c r="E51" s="69"/>
      <c r="F51" s="69"/>
      <c r="G51" s="37"/>
      <c r="H51" s="69"/>
      <c r="I51" s="39"/>
      <c r="J51" s="39"/>
      <c r="K51" s="39"/>
      <c r="L51" s="39"/>
      <c r="M51" s="39"/>
      <c r="N51" s="39"/>
      <c r="O51" s="37"/>
    </row>
    <row r="52" spans="3:15" ht="14" x14ac:dyDescent="0.3">
      <c r="C52" s="69"/>
      <c r="D52" s="5"/>
      <c r="E52" s="69"/>
      <c r="F52" s="69"/>
      <c r="G52" s="37"/>
      <c r="H52" s="69"/>
      <c r="I52" s="39"/>
      <c r="J52" s="39"/>
      <c r="K52" s="39"/>
      <c r="L52" s="39"/>
      <c r="M52" s="39"/>
      <c r="N52" s="39"/>
      <c r="O52" s="37"/>
    </row>
    <row r="53" spans="3:15" ht="14" x14ac:dyDescent="0.3">
      <c r="C53" s="69"/>
      <c r="D53" s="5"/>
      <c r="E53" s="69" t="str">
        <f>Assumptions!E34</f>
        <v>Days payable</v>
      </c>
      <c r="F53" s="69"/>
      <c r="G53" s="37" t="str">
        <f>No._of_days</f>
        <v># Days</v>
      </c>
      <c r="H53" s="69"/>
      <c r="I53" s="69"/>
      <c r="J53" s="91">
        <f>Assumptions!J34</f>
        <v>90</v>
      </c>
      <c r="K53" s="91">
        <f>Assumptions!K34</f>
        <v>90</v>
      </c>
      <c r="L53" s="91">
        <f>Assumptions!L34</f>
        <v>90</v>
      </c>
      <c r="M53" s="91">
        <f>Assumptions!M34</f>
        <v>90</v>
      </c>
      <c r="N53" s="91">
        <f>Assumptions!N34</f>
        <v>90</v>
      </c>
      <c r="O53" s="37"/>
    </row>
    <row r="54" spans="3:15" ht="14" x14ac:dyDescent="0.3">
      <c r="C54" s="69"/>
      <c r="D54" s="5"/>
      <c r="E54" s="69"/>
      <c r="F54" s="69"/>
      <c r="G54" s="37"/>
      <c r="H54" s="69"/>
      <c r="I54" s="69"/>
      <c r="J54" s="69"/>
      <c r="K54" s="69"/>
      <c r="L54" s="69"/>
      <c r="M54" s="69"/>
      <c r="N54" s="69"/>
      <c r="O54" s="37"/>
    </row>
    <row r="55" spans="3:15" ht="14" x14ac:dyDescent="0.3">
      <c r="C55" s="69"/>
      <c r="D55" s="5"/>
      <c r="E55" s="69" t="s">
        <v>227</v>
      </c>
      <c r="F55" s="69"/>
      <c r="G55" s="37" t="str">
        <f>No._of_days</f>
        <v># Days</v>
      </c>
      <c r="H55" s="69"/>
      <c r="I55" s="69"/>
      <c r="J55" s="39">
        <f>J$8</f>
        <v>366</v>
      </c>
      <c r="K55" s="39">
        <f t="shared" ref="K55:N55" si="11">K$8</f>
        <v>365</v>
      </c>
      <c r="L55" s="39">
        <f t="shared" si="11"/>
        <v>365</v>
      </c>
      <c r="M55" s="39">
        <f t="shared" si="11"/>
        <v>365</v>
      </c>
      <c r="N55" s="39">
        <f t="shared" si="11"/>
        <v>366</v>
      </c>
      <c r="O55" s="37"/>
    </row>
    <row r="56" spans="3:15" ht="14" x14ac:dyDescent="0.3">
      <c r="C56" s="69"/>
      <c r="D56" s="5"/>
      <c r="E56" s="69"/>
      <c r="F56" s="69"/>
      <c r="G56" s="37"/>
      <c r="H56" s="69"/>
      <c r="I56" s="69"/>
      <c r="J56" s="69"/>
      <c r="K56" s="69"/>
      <c r="L56" s="69"/>
      <c r="M56" s="69"/>
      <c r="N56" s="69"/>
      <c r="O56" s="37"/>
    </row>
    <row r="57" spans="3:15" ht="14" x14ac:dyDescent="0.3">
      <c r="C57" s="69"/>
      <c r="D57" s="5"/>
      <c r="E57" s="69" t="s">
        <v>235</v>
      </c>
      <c r="F57" s="69"/>
      <c r="G57" s="37" t="str">
        <f>Currency</f>
        <v>US$'000</v>
      </c>
      <c r="H57" s="69"/>
      <c r="I57" s="69"/>
      <c r="J57" s="39">
        <f>J49*J53/J55</f>
        <v>110.65573770491804</v>
      </c>
      <c r="K57" s="39">
        <f t="shared" ref="K57:N57" si="12">K49*K53/K55</f>
        <v>228.57534246575344</v>
      </c>
      <c r="L57" s="39">
        <f t="shared" si="12"/>
        <v>356.57753424657545</v>
      </c>
      <c r="M57" s="39">
        <f t="shared" si="12"/>
        <v>499.20854794520557</v>
      </c>
      <c r="N57" s="39">
        <f t="shared" si="12"/>
        <v>659.64408196721331</v>
      </c>
      <c r="O57" s="37"/>
    </row>
    <row r="58" spans="3:15" ht="14" x14ac:dyDescent="0.3">
      <c r="C58" s="69"/>
      <c r="D58" s="5"/>
      <c r="E58" s="69"/>
      <c r="F58" s="69"/>
      <c r="G58" s="37"/>
      <c r="H58" s="69"/>
      <c r="I58" s="69"/>
      <c r="J58" s="69"/>
      <c r="K58" s="69"/>
      <c r="L58" s="69"/>
      <c r="M58" s="69"/>
      <c r="N58" s="69"/>
      <c r="O58" s="37"/>
    </row>
    <row r="59" spans="3:15" ht="14" x14ac:dyDescent="0.3">
      <c r="C59" s="69"/>
      <c r="D59" s="5" t="s">
        <v>229</v>
      </c>
      <c r="E59" s="69"/>
      <c r="F59" s="69"/>
      <c r="G59" s="37"/>
      <c r="H59" s="69"/>
      <c r="I59" s="69"/>
      <c r="J59" s="69"/>
      <c r="K59" s="69"/>
      <c r="L59" s="69"/>
      <c r="M59" s="69"/>
      <c r="N59" s="69"/>
      <c r="O59" s="37"/>
    </row>
    <row r="60" spans="3:15" x14ac:dyDescent="0.25">
      <c r="C60" s="69"/>
      <c r="D60" s="69"/>
      <c r="E60" s="69"/>
      <c r="F60" s="69"/>
      <c r="G60" s="37"/>
      <c r="H60" s="69"/>
      <c r="I60" s="69"/>
      <c r="J60" s="69"/>
      <c r="K60" s="69"/>
      <c r="L60" s="69"/>
      <c r="M60" s="69"/>
      <c r="N60" s="69"/>
      <c r="O60" s="37"/>
    </row>
    <row r="61" spans="3:15" ht="14.5" x14ac:dyDescent="0.35">
      <c r="C61" s="69"/>
      <c r="D61" s="69"/>
      <c r="E61" s="69" t="s">
        <v>236</v>
      </c>
      <c r="F61" s="69"/>
      <c r="G61" s="37" t="str">
        <f>Currency</f>
        <v>US$'000</v>
      </c>
      <c r="H61" s="69"/>
      <c r="I61" s="39"/>
      <c r="J61" s="39">
        <f>I64</f>
        <v>0</v>
      </c>
      <c r="K61" s="39">
        <f t="shared" ref="K61:N61" si="13">J64</f>
        <v>110.65573770491804</v>
      </c>
      <c r="L61" s="39">
        <f t="shared" si="13"/>
        <v>228.57534246575344</v>
      </c>
      <c r="M61" s="39">
        <f t="shared" si="13"/>
        <v>356.57753424657545</v>
      </c>
      <c r="N61" s="39">
        <f t="shared" si="13"/>
        <v>499.20854794520557</v>
      </c>
      <c r="O61" s="93" t="s">
        <v>109</v>
      </c>
    </row>
    <row r="62" spans="3:15" ht="14.5" x14ac:dyDescent="0.35">
      <c r="C62" s="69"/>
      <c r="D62" s="69"/>
      <c r="E62" s="69" t="s">
        <v>144</v>
      </c>
      <c r="F62" s="69"/>
      <c r="G62" s="37" t="str">
        <f>Currency</f>
        <v>US$'000</v>
      </c>
      <c r="H62" s="69"/>
      <c r="I62" s="39"/>
      <c r="J62" s="39">
        <f>J49</f>
        <v>450</v>
      </c>
      <c r="K62" s="39">
        <f t="shared" ref="K62:N62" si="14">K49</f>
        <v>927</v>
      </c>
      <c r="L62" s="39">
        <f t="shared" si="14"/>
        <v>1446.1200000000003</v>
      </c>
      <c r="M62" s="39">
        <f t="shared" si="14"/>
        <v>2024.5680000000002</v>
      </c>
      <c r="N62" s="39">
        <f t="shared" si="14"/>
        <v>2682.5526000000009</v>
      </c>
      <c r="O62" s="93" t="s">
        <v>108</v>
      </c>
    </row>
    <row r="63" spans="3:15" ht="14.5" x14ac:dyDescent="0.35">
      <c r="C63" s="69"/>
      <c r="D63" s="69"/>
      <c r="E63" s="69" t="s">
        <v>185</v>
      </c>
      <c r="F63" s="69"/>
      <c r="G63" s="37" t="str">
        <f>Currency</f>
        <v>US$'000</v>
      </c>
      <c r="H63" s="69"/>
      <c r="I63" s="39"/>
      <c r="J63" s="39">
        <f>J64-SUM(J61:J62)</f>
        <v>-339.34426229508199</v>
      </c>
      <c r="K63" s="39">
        <f t="shared" ref="K63" si="15">K64-SUM(K61:K62)</f>
        <v>-809.08039523916455</v>
      </c>
      <c r="L63" s="39">
        <f t="shared" ref="L63" si="16">L64-SUM(L61:L62)</f>
        <v>-1318.1178082191784</v>
      </c>
      <c r="M63" s="39">
        <f t="shared" ref="M63" si="17">M64-SUM(M61:M62)</f>
        <v>-1881.9369863013701</v>
      </c>
      <c r="N63" s="39">
        <f t="shared" ref="N63" si="18">N64-SUM(N61:N62)</f>
        <v>-2522.1170659779932</v>
      </c>
      <c r="O63" s="93" t="s">
        <v>110</v>
      </c>
    </row>
    <row r="64" spans="3:15" ht="14.5" x14ac:dyDescent="0.35">
      <c r="C64" s="69"/>
      <c r="D64" s="69"/>
      <c r="E64" s="69" t="s">
        <v>235</v>
      </c>
      <c r="F64" s="69"/>
      <c r="G64" s="37" t="str">
        <f>Currency</f>
        <v>US$'000</v>
      </c>
      <c r="H64" s="69"/>
      <c r="I64" s="92">
        <f>'Opening Balance Sheet'!$I$28</f>
        <v>0</v>
      </c>
      <c r="J64" s="94">
        <f>J57</f>
        <v>110.65573770491804</v>
      </c>
      <c r="K64" s="72">
        <f t="shared" ref="K64:N64" si="19">K57</f>
        <v>228.57534246575344</v>
      </c>
      <c r="L64" s="72">
        <f t="shared" si="19"/>
        <v>356.57753424657545</v>
      </c>
      <c r="M64" s="72">
        <f t="shared" si="19"/>
        <v>499.20854794520557</v>
      </c>
      <c r="N64" s="72">
        <f t="shared" si="19"/>
        <v>659.64408196721331</v>
      </c>
      <c r="O64" s="93" t="s">
        <v>109</v>
      </c>
    </row>
    <row r="67" spans="3:14" ht="16.5" x14ac:dyDescent="0.35">
      <c r="C67" s="78" t="s">
        <v>237</v>
      </c>
    </row>
    <row r="69" spans="3:14" ht="14" x14ac:dyDescent="0.3">
      <c r="D69" s="5" t="s">
        <v>238</v>
      </c>
    </row>
    <row r="71" spans="3:14" x14ac:dyDescent="0.25">
      <c r="E71" s="68" t="str">
        <f>Assumptions!E41</f>
        <v>Purchases</v>
      </c>
      <c r="G71" s="37" t="str">
        <f>Assumptions!G41</f>
        <v>kg</v>
      </c>
      <c r="J71" s="101">
        <f>Assumptions!J41</f>
        <v>400</v>
      </c>
      <c r="K71" s="101">
        <f>Assumptions!K41</f>
        <v>775</v>
      </c>
      <c r="L71" s="101">
        <f>Assumptions!L41</f>
        <v>325</v>
      </c>
      <c r="M71" s="101">
        <f>Assumptions!M41</f>
        <v>550</v>
      </c>
      <c r="N71" s="101">
        <f>Assumptions!N41</f>
        <v>1000</v>
      </c>
    </row>
    <row r="72" spans="3:14" x14ac:dyDescent="0.25">
      <c r="E72" s="68" t="str">
        <f>Assumptions!E42</f>
        <v>Price</v>
      </c>
      <c r="G72" s="37" t="str">
        <f>Assumptions!G42</f>
        <v>$/kg</v>
      </c>
      <c r="J72" s="101">
        <f>Assumptions!J42</f>
        <v>3990</v>
      </c>
      <c r="K72" s="101">
        <f>Assumptions!K42</f>
        <v>4750</v>
      </c>
      <c r="L72" s="101">
        <f>Assumptions!L42</f>
        <v>2800</v>
      </c>
      <c r="M72" s="101">
        <f>Assumptions!M42</f>
        <v>4160</v>
      </c>
      <c r="N72" s="101">
        <f>Assumptions!N42</f>
        <v>5000</v>
      </c>
    </row>
    <row r="74" spans="3:14" ht="14" x14ac:dyDescent="0.3">
      <c r="D74" s="5" t="s">
        <v>218</v>
      </c>
    </row>
    <row r="76" spans="3:14" x14ac:dyDescent="0.25">
      <c r="E76" s="68" t="s">
        <v>238</v>
      </c>
      <c r="G76" s="37" t="str">
        <f>Weight</f>
        <v>kg</v>
      </c>
      <c r="J76" s="74">
        <f>J71</f>
        <v>400</v>
      </c>
      <c r="K76" s="74">
        <f t="shared" ref="K76:N76" si="20">K71</f>
        <v>775</v>
      </c>
      <c r="L76" s="74">
        <f t="shared" si="20"/>
        <v>325</v>
      </c>
      <c r="M76" s="74">
        <f t="shared" si="20"/>
        <v>550</v>
      </c>
      <c r="N76" s="74">
        <f t="shared" si="20"/>
        <v>1000</v>
      </c>
    </row>
    <row r="77" spans="3:14" x14ac:dyDescent="0.25">
      <c r="E77" s="68" t="s">
        <v>241</v>
      </c>
      <c r="G77" s="37" t="str">
        <f>Price_Weight</f>
        <v>$/kg</v>
      </c>
      <c r="J77" s="74">
        <f>J72</f>
        <v>3990</v>
      </c>
      <c r="K77" s="74">
        <f t="shared" ref="K77:N77" si="21">K72</f>
        <v>4750</v>
      </c>
      <c r="L77" s="74">
        <f t="shared" si="21"/>
        <v>2800</v>
      </c>
      <c r="M77" s="74">
        <f t="shared" si="21"/>
        <v>4160</v>
      </c>
      <c r="N77" s="74">
        <f t="shared" si="21"/>
        <v>5000</v>
      </c>
    </row>
    <row r="78" spans="3:14" x14ac:dyDescent="0.25">
      <c r="E78" s="68" t="s">
        <v>238</v>
      </c>
      <c r="G78" s="37" t="str">
        <f>Currency</f>
        <v>US$'000</v>
      </c>
      <c r="J78" s="106">
        <f>J76*J77/Thousand</f>
        <v>1596</v>
      </c>
      <c r="K78" s="106">
        <f>K76*K77/Thousand</f>
        <v>3681.25</v>
      </c>
      <c r="L78" s="106">
        <f>L76*L77/Thousand</f>
        <v>910</v>
      </c>
      <c r="M78" s="106">
        <f>M76*M77/Thousand</f>
        <v>2288</v>
      </c>
      <c r="N78" s="106">
        <f>N76*N77/Thousand</f>
        <v>5000</v>
      </c>
    </row>
    <row r="79" spans="3:14" x14ac:dyDescent="0.25">
      <c r="G79" s="37"/>
    </row>
    <row r="80" spans="3:14" x14ac:dyDescent="0.25">
      <c r="E80" s="68" t="s">
        <v>233</v>
      </c>
      <c r="G80" s="37" t="str">
        <f>No._of_days</f>
        <v># Days</v>
      </c>
      <c r="J80" s="30">
        <f>Assumptions!J48</f>
        <v>30</v>
      </c>
      <c r="K80" s="30">
        <f>Assumptions!K48</f>
        <v>30</v>
      </c>
      <c r="L80" s="30">
        <f>Assumptions!L48</f>
        <v>30</v>
      </c>
      <c r="M80" s="30">
        <f>Assumptions!M48</f>
        <v>30</v>
      </c>
      <c r="N80" s="30">
        <f>Assumptions!N48</f>
        <v>30</v>
      </c>
    </row>
    <row r="81" spans="1:15" x14ac:dyDescent="0.25">
      <c r="G81" s="37"/>
    </row>
    <row r="82" spans="1:15" x14ac:dyDescent="0.25">
      <c r="E82" s="68" t="s">
        <v>227</v>
      </c>
      <c r="G82" s="37" t="str">
        <f>No._of_days</f>
        <v># Days</v>
      </c>
      <c r="J82" s="39">
        <f>J$8</f>
        <v>366</v>
      </c>
      <c r="K82" s="39">
        <f t="shared" ref="K82:N82" si="22">K$8</f>
        <v>365</v>
      </c>
      <c r="L82" s="39">
        <f t="shared" si="22"/>
        <v>365</v>
      </c>
      <c r="M82" s="39">
        <f t="shared" si="22"/>
        <v>365</v>
      </c>
      <c r="N82" s="39">
        <f t="shared" si="22"/>
        <v>366</v>
      </c>
    </row>
    <row r="83" spans="1:15" x14ac:dyDescent="0.25">
      <c r="G83" s="37"/>
      <c r="J83" s="89"/>
      <c r="K83" s="89"/>
      <c r="L83" s="89"/>
      <c r="M83" s="89"/>
      <c r="N83" s="89"/>
    </row>
    <row r="84" spans="1:15" x14ac:dyDescent="0.25">
      <c r="E84" s="68" t="s">
        <v>235</v>
      </c>
      <c r="G84" s="37" t="str">
        <f>Currency</f>
        <v>US$'000</v>
      </c>
      <c r="J84" s="39">
        <f>J78*J80/J82</f>
        <v>130.81967213114754</v>
      </c>
      <c r="K84" s="39">
        <f t="shared" ref="K84:N84" si="23">K78*K80/K82</f>
        <v>302.56849315068496</v>
      </c>
      <c r="L84" s="39">
        <f t="shared" si="23"/>
        <v>74.794520547945211</v>
      </c>
      <c r="M84" s="39">
        <f t="shared" si="23"/>
        <v>188.05479452054794</v>
      </c>
      <c r="N84" s="39">
        <f t="shared" si="23"/>
        <v>409.8360655737705</v>
      </c>
    </row>
    <row r="85" spans="1:15" x14ac:dyDescent="0.25">
      <c r="G85" s="37"/>
      <c r="J85" s="89"/>
      <c r="K85" s="89"/>
      <c r="L85" s="89"/>
      <c r="M85" s="89"/>
      <c r="N85" s="89"/>
    </row>
    <row r="86" spans="1:15" ht="14" x14ac:dyDescent="0.3">
      <c r="D86" s="5" t="s">
        <v>242</v>
      </c>
      <c r="G86" s="37"/>
      <c r="I86" s="95"/>
      <c r="J86" s="95"/>
      <c r="K86" s="95"/>
      <c r="L86" s="95"/>
      <c r="M86" s="95"/>
      <c r="N86" s="95"/>
      <c r="O86" s="95"/>
    </row>
    <row r="87" spans="1:15" x14ac:dyDescent="0.25">
      <c r="B87" s="89"/>
      <c r="C87" s="89"/>
      <c r="D87" s="89"/>
      <c r="E87" s="89"/>
      <c r="F87" s="89"/>
      <c r="G87" s="37"/>
      <c r="I87" s="95"/>
      <c r="J87" s="95"/>
      <c r="K87" s="95"/>
      <c r="L87" s="95"/>
      <c r="M87" s="95"/>
      <c r="N87" s="95"/>
      <c r="O87" s="95"/>
    </row>
    <row r="88" spans="1:15" ht="12" x14ac:dyDescent="0.3">
      <c r="A88" s="89"/>
      <c r="B88" s="89"/>
      <c r="C88" s="89"/>
      <c r="D88" s="89"/>
      <c r="E88" s="89" t="s">
        <v>236</v>
      </c>
      <c r="F88" s="89"/>
      <c r="G88" s="37" t="str">
        <f>Currency</f>
        <v>US$'000</v>
      </c>
      <c r="I88" s="95"/>
      <c r="J88" s="39">
        <f>I91</f>
        <v>0</v>
      </c>
      <c r="K88" s="39">
        <f t="shared" ref="K88:N88" si="24">J91</f>
        <v>130.81967213114754</v>
      </c>
      <c r="L88" s="39">
        <f t="shared" si="24"/>
        <v>302.56849315068496</v>
      </c>
      <c r="M88" s="39">
        <f t="shared" si="24"/>
        <v>74.794520547945211</v>
      </c>
      <c r="N88" s="39">
        <f t="shared" si="24"/>
        <v>188.05479452054794</v>
      </c>
      <c r="O88" s="110" t="str">
        <f>Balance_Sheet</f>
        <v>BS</v>
      </c>
    </row>
    <row r="89" spans="1:15" ht="12" x14ac:dyDescent="0.3">
      <c r="A89" s="89"/>
      <c r="B89" s="89"/>
      <c r="C89" s="89"/>
      <c r="D89" s="89"/>
      <c r="E89" s="89" t="s">
        <v>238</v>
      </c>
      <c r="F89" s="89"/>
      <c r="G89" s="37" t="str">
        <f>Currency</f>
        <v>US$'000</v>
      </c>
      <c r="I89" s="95"/>
      <c r="J89" s="39">
        <f>J78</f>
        <v>1596</v>
      </c>
      <c r="K89" s="39">
        <f t="shared" ref="K89:N89" si="25">K78</f>
        <v>3681.25</v>
      </c>
      <c r="L89" s="39">
        <f t="shared" si="25"/>
        <v>910</v>
      </c>
      <c r="M89" s="39">
        <f t="shared" si="25"/>
        <v>2288</v>
      </c>
      <c r="N89" s="39">
        <f t="shared" si="25"/>
        <v>5000</v>
      </c>
      <c r="O89" s="28"/>
    </row>
    <row r="90" spans="1:15" ht="12" x14ac:dyDescent="0.3">
      <c r="A90" s="89"/>
      <c r="B90" s="89"/>
      <c r="C90" s="89"/>
      <c r="D90" s="89"/>
      <c r="E90" s="89" t="s">
        <v>185</v>
      </c>
      <c r="F90" s="89"/>
      <c r="G90" s="37" t="str">
        <f>Currency</f>
        <v>US$'000</v>
      </c>
      <c r="I90" s="95"/>
      <c r="J90" s="39">
        <f>J91-SUM(J88:J89)</f>
        <v>-1465.1803278688524</v>
      </c>
      <c r="K90" s="39">
        <f t="shared" ref="K90:N90" si="26">K91-SUM(K88:K89)</f>
        <v>-3509.5011789804626</v>
      </c>
      <c r="L90" s="39">
        <f t="shared" si="26"/>
        <v>-1137.7739726027396</v>
      </c>
      <c r="M90" s="39">
        <f t="shared" si="26"/>
        <v>-2174.739726027397</v>
      </c>
      <c r="N90" s="39">
        <f t="shared" si="26"/>
        <v>-4778.2187289467774</v>
      </c>
      <c r="O90" s="110" t="str">
        <f>Cash_Flow_Statement</f>
        <v>CFS</v>
      </c>
    </row>
    <row r="91" spans="1:15" ht="12" x14ac:dyDescent="0.3">
      <c r="A91" s="89"/>
      <c r="B91" s="89"/>
      <c r="C91" s="89"/>
      <c r="D91" s="89"/>
      <c r="E91" s="89" t="s">
        <v>235</v>
      </c>
      <c r="F91" s="89"/>
      <c r="G91" s="37" t="str">
        <f>Currency</f>
        <v>US$'000</v>
      </c>
      <c r="I91" s="111"/>
      <c r="J91" s="94">
        <f>J84</f>
        <v>130.81967213114754</v>
      </c>
      <c r="K91" s="72">
        <f>K84</f>
        <v>302.56849315068496</v>
      </c>
      <c r="L91" s="72">
        <f t="shared" ref="L91:N91" si="27">L84</f>
        <v>74.794520547945211</v>
      </c>
      <c r="M91" s="72">
        <f t="shared" si="27"/>
        <v>188.05479452054794</v>
      </c>
      <c r="N91" s="72">
        <f t="shared" si="27"/>
        <v>409.8360655737705</v>
      </c>
      <c r="O91" s="110" t="str">
        <f>Balance_Sheet</f>
        <v>BS</v>
      </c>
    </row>
    <row r="92" spans="1:15" x14ac:dyDescent="0.25">
      <c r="A92" s="89"/>
      <c r="B92" s="89"/>
      <c r="C92" s="89"/>
      <c r="D92" s="89"/>
      <c r="E92" s="89"/>
      <c r="F92" s="89"/>
      <c r="I92" s="95"/>
      <c r="J92" s="95"/>
      <c r="K92" s="95"/>
      <c r="L92" s="95"/>
      <c r="M92" s="95"/>
      <c r="N92" s="95"/>
      <c r="O92" s="95"/>
    </row>
    <row r="93" spans="1:15" x14ac:dyDescent="0.25">
      <c r="I93" s="95"/>
      <c r="J93" s="95"/>
      <c r="K93" s="95"/>
      <c r="L93" s="95"/>
      <c r="M93" s="95"/>
      <c r="N93" s="95"/>
      <c r="O93" s="95"/>
    </row>
    <row r="94" spans="1:15" ht="16.5" x14ac:dyDescent="0.35">
      <c r="C94" s="78" t="s">
        <v>250</v>
      </c>
      <c r="I94" s="95"/>
      <c r="J94" s="95"/>
      <c r="K94" s="95"/>
      <c r="L94" s="95"/>
      <c r="M94" s="95"/>
      <c r="N94" s="95"/>
      <c r="O94" s="95"/>
    </row>
    <row r="96" spans="1:15" ht="14" x14ac:dyDescent="0.3">
      <c r="D96" s="5" t="s">
        <v>243</v>
      </c>
    </row>
    <row r="98" spans="4:14" ht="12" x14ac:dyDescent="0.3">
      <c r="E98" s="68" t="s">
        <v>238</v>
      </c>
      <c r="G98" s="37" t="str">
        <f>Weight</f>
        <v>kg</v>
      </c>
      <c r="H98" s="35" t="str">
        <f>"Row "&amp;ROW(J71)</f>
        <v>Row 71</v>
      </c>
      <c r="J98" s="103">
        <f>J71</f>
        <v>400</v>
      </c>
      <c r="K98" s="103">
        <f t="shared" ref="K98:N98" si="28">K71</f>
        <v>775</v>
      </c>
      <c r="L98" s="103">
        <f t="shared" si="28"/>
        <v>325</v>
      </c>
      <c r="M98" s="103">
        <f t="shared" si="28"/>
        <v>550</v>
      </c>
      <c r="N98" s="103">
        <f t="shared" si="28"/>
        <v>1000</v>
      </c>
    </row>
    <row r="99" spans="4:14" ht="12" x14ac:dyDescent="0.3">
      <c r="E99" s="68" t="s">
        <v>238</v>
      </c>
      <c r="G99" s="37" t="str">
        <f>Currency</f>
        <v>US$'000</v>
      </c>
      <c r="H99" s="35" t="str">
        <f>"Row "&amp;ROW(J78)</f>
        <v>Row 78</v>
      </c>
      <c r="J99" s="103">
        <f>J78</f>
        <v>1596</v>
      </c>
      <c r="K99" s="103">
        <f t="shared" ref="K99:N99" si="29">K78</f>
        <v>3681.25</v>
      </c>
      <c r="L99" s="103">
        <f t="shared" si="29"/>
        <v>910</v>
      </c>
      <c r="M99" s="103">
        <f t="shared" si="29"/>
        <v>2288</v>
      </c>
      <c r="N99" s="103">
        <f t="shared" si="29"/>
        <v>5000</v>
      </c>
    </row>
    <row r="100" spans="4:14" x14ac:dyDescent="0.25">
      <c r="E100" s="68" t="s">
        <v>240</v>
      </c>
      <c r="G100" s="37" t="str">
        <f>Weight</f>
        <v>kg</v>
      </c>
      <c r="J100" s="102">
        <f>Assumptions!J43</f>
        <v>2</v>
      </c>
      <c r="K100" s="102">
        <f>Assumptions!K43</f>
        <v>2</v>
      </c>
      <c r="L100" s="102">
        <f>Assumptions!L43</f>
        <v>2</v>
      </c>
      <c r="M100" s="102">
        <f>Assumptions!M43</f>
        <v>2</v>
      </c>
      <c r="N100" s="102">
        <f>Assumptions!N43</f>
        <v>2</v>
      </c>
    </row>
    <row r="101" spans="4:14" x14ac:dyDescent="0.25">
      <c r="E101" s="68" t="s">
        <v>146</v>
      </c>
      <c r="G101" s="37" t="str">
        <f>Percentage</f>
        <v>%</v>
      </c>
      <c r="J101" s="96">
        <f>Assumptions!J44</f>
        <v>0.03</v>
      </c>
      <c r="K101" s="96">
        <f>Assumptions!K44</f>
        <v>0.02</v>
      </c>
      <c r="L101" s="96">
        <f>Assumptions!L44</f>
        <v>0.02</v>
      </c>
      <c r="M101" s="96">
        <f>Assumptions!M44</f>
        <v>0.01</v>
      </c>
      <c r="N101" s="96">
        <f>Assumptions!N44</f>
        <v>0.01</v>
      </c>
    </row>
    <row r="103" spans="4:14" ht="12" x14ac:dyDescent="0.3">
      <c r="E103" s="68" t="s">
        <v>221</v>
      </c>
      <c r="G103" s="37" t="str">
        <f>Unit</f>
        <v>#</v>
      </c>
      <c r="H103" s="35" t="str">
        <f>"Row "&amp;ROW(J17)</f>
        <v>Row 17</v>
      </c>
      <c r="J103" s="104">
        <f>J17</f>
        <v>100</v>
      </c>
      <c r="K103" s="104">
        <f t="shared" ref="K103:N103" si="30">K17</f>
        <v>200</v>
      </c>
      <c r="L103" s="104">
        <f t="shared" si="30"/>
        <v>300</v>
      </c>
      <c r="M103" s="104">
        <f t="shared" si="30"/>
        <v>400</v>
      </c>
      <c r="N103" s="104">
        <f t="shared" si="30"/>
        <v>500</v>
      </c>
    </row>
    <row r="105" spans="4:14" ht="14" x14ac:dyDescent="0.3">
      <c r="D105" s="5" t="s">
        <v>218</v>
      </c>
    </row>
    <row r="107" spans="4:14" ht="12" x14ac:dyDescent="0.3">
      <c r="E107" s="68" t="s">
        <v>240</v>
      </c>
      <c r="G107" s="37" t="str">
        <f>Weight</f>
        <v>kg</v>
      </c>
      <c r="H107" s="35" t="str">
        <f>"Row "&amp;ROW(J100)</f>
        <v>Row 100</v>
      </c>
      <c r="J107" s="105">
        <f>J100</f>
        <v>2</v>
      </c>
      <c r="K107" s="105">
        <f t="shared" ref="K107:N107" si="31">K100</f>
        <v>2</v>
      </c>
      <c r="L107" s="105">
        <f t="shared" si="31"/>
        <v>2</v>
      </c>
      <c r="M107" s="105">
        <f t="shared" si="31"/>
        <v>2</v>
      </c>
      <c r="N107" s="105">
        <f t="shared" si="31"/>
        <v>2</v>
      </c>
    </row>
    <row r="108" spans="4:14" ht="12" x14ac:dyDescent="0.3">
      <c r="E108" s="68" t="s">
        <v>221</v>
      </c>
      <c r="G108" s="37" t="str">
        <f>Unit</f>
        <v>#</v>
      </c>
      <c r="H108" s="35" t="str">
        <f>"Row "&amp;ROW(J103)</f>
        <v>Row 103</v>
      </c>
      <c r="J108" s="104">
        <f>J103</f>
        <v>100</v>
      </c>
      <c r="K108" s="104">
        <f t="shared" ref="K108:N108" si="32">K103</f>
        <v>200</v>
      </c>
      <c r="L108" s="104">
        <f t="shared" si="32"/>
        <v>300</v>
      </c>
      <c r="M108" s="104">
        <f t="shared" si="32"/>
        <v>400</v>
      </c>
      <c r="N108" s="104">
        <f t="shared" si="32"/>
        <v>500</v>
      </c>
    </row>
    <row r="109" spans="4:14" x14ac:dyDescent="0.25">
      <c r="E109" s="71" t="s">
        <v>144</v>
      </c>
      <c r="G109" s="37" t="str">
        <f>Weight</f>
        <v>kg</v>
      </c>
      <c r="J109" s="107">
        <f>J107*J108</f>
        <v>200</v>
      </c>
      <c r="K109" s="107">
        <f t="shared" ref="K109:N109" si="33">K107*K108</f>
        <v>400</v>
      </c>
      <c r="L109" s="107">
        <f t="shared" si="33"/>
        <v>600</v>
      </c>
      <c r="M109" s="107">
        <f t="shared" si="33"/>
        <v>800</v>
      </c>
      <c r="N109" s="107">
        <f t="shared" si="33"/>
        <v>1000</v>
      </c>
    </row>
    <row r="111" spans="4:14" x14ac:dyDescent="0.25">
      <c r="E111" s="68" t="s">
        <v>245</v>
      </c>
      <c r="G111" s="37" t="str">
        <f>Weight</f>
        <v>kg</v>
      </c>
      <c r="J111" s="103">
        <f>SUM(J127:J129)</f>
        <v>200</v>
      </c>
      <c r="K111" s="103">
        <f t="shared" ref="K111:N111" si="34">SUM(K127:K129)</f>
        <v>569</v>
      </c>
      <c r="L111" s="103">
        <f t="shared" si="34"/>
        <v>282.62</v>
      </c>
      <c r="M111" s="103">
        <f t="shared" si="34"/>
        <v>26.967599999999948</v>
      </c>
      <c r="N111" s="103">
        <f t="shared" si="34"/>
        <v>26.697924000000057</v>
      </c>
    </row>
    <row r="112" spans="4:14" ht="12" x14ac:dyDescent="0.3">
      <c r="E112" s="68" t="s">
        <v>146</v>
      </c>
      <c r="G112" s="37" t="str">
        <f>Percentage</f>
        <v>%</v>
      </c>
      <c r="H112" s="35" t="str">
        <f>"Row "&amp;ROW(J101)</f>
        <v>Row 101</v>
      </c>
      <c r="J112" s="108">
        <f>J101</f>
        <v>0.03</v>
      </c>
      <c r="K112" s="108">
        <f t="shared" ref="K112:N112" si="35">K101</f>
        <v>0.02</v>
      </c>
      <c r="L112" s="108">
        <f t="shared" si="35"/>
        <v>0.02</v>
      </c>
      <c r="M112" s="108">
        <f t="shared" si="35"/>
        <v>0.01</v>
      </c>
      <c r="N112" s="108">
        <f t="shared" si="35"/>
        <v>0.01</v>
      </c>
    </row>
    <row r="113" spans="1:15" x14ac:dyDescent="0.25">
      <c r="E113" s="71" t="s">
        <v>146</v>
      </c>
      <c r="G113" s="37" t="str">
        <f>Weight</f>
        <v>kg</v>
      </c>
      <c r="J113" s="107">
        <f>J111*J112</f>
        <v>6</v>
      </c>
      <c r="K113" s="107">
        <f t="shared" ref="K113:N113" si="36">K111*K112</f>
        <v>11.38</v>
      </c>
      <c r="L113" s="107">
        <f t="shared" si="36"/>
        <v>5.6524000000000001</v>
      </c>
      <c r="M113" s="107">
        <f t="shared" si="36"/>
        <v>0.26967599999999947</v>
      </c>
      <c r="N113" s="107">
        <f t="shared" si="36"/>
        <v>0.26697924000000056</v>
      </c>
    </row>
    <row r="115" spans="1:15" x14ac:dyDescent="0.25">
      <c r="E115" s="68" t="s">
        <v>244</v>
      </c>
      <c r="G115" s="37" t="str">
        <f>Weight</f>
        <v>kg</v>
      </c>
      <c r="J115" s="103">
        <f>SUM(J127:J128)</f>
        <v>400</v>
      </c>
      <c r="K115" s="103">
        <f t="shared" ref="K115:N115" si="37">SUM(K127:K128)</f>
        <v>969</v>
      </c>
      <c r="L115" s="103">
        <f t="shared" si="37"/>
        <v>882.62</v>
      </c>
      <c r="M115" s="103">
        <f t="shared" si="37"/>
        <v>826.96759999999995</v>
      </c>
      <c r="N115" s="103">
        <f t="shared" si="37"/>
        <v>1026.6979240000001</v>
      </c>
    </row>
    <row r="116" spans="1:15" x14ac:dyDescent="0.25">
      <c r="E116" s="68" t="s">
        <v>244</v>
      </c>
      <c r="G116" s="37" t="str">
        <f>Currency</f>
        <v>US$'000</v>
      </c>
      <c r="J116" s="103">
        <f>SUM(J135:J136)</f>
        <v>1596</v>
      </c>
      <c r="K116" s="103">
        <f t="shared" ref="K116:N116" si="38">SUM(K135:K136)</f>
        <v>4455.3099999999995</v>
      </c>
      <c r="L116" s="103">
        <f t="shared" si="38"/>
        <v>3473.8492901960781</v>
      </c>
      <c r="M116" s="103">
        <f t="shared" si="38"/>
        <v>3378.0995906135272</v>
      </c>
      <c r="N116" s="103">
        <f t="shared" si="38"/>
        <v>5109.0589838521255</v>
      </c>
    </row>
    <row r="117" spans="1:15" ht="12" x14ac:dyDescent="0.3">
      <c r="E117" s="68" t="s">
        <v>144</v>
      </c>
      <c r="G117" s="37" t="str">
        <f>Weight</f>
        <v>kg</v>
      </c>
      <c r="H117" s="35" t="str">
        <f>"Row "&amp;ROW(J109)</f>
        <v>Row 109</v>
      </c>
      <c r="J117" s="103">
        <f>J109</f>
        <v>200</v>
      </c>
      <c r="K117" s="103">
        <f t="shared" ref="K117:N117" si="39">K109</f>
        <v>400</v>
      </c>
      <c r="L117" s="103">
        <f t="shared" si="39"/>
        <v>600</v>
      </c>
      <c r="M117" s="103">
        <f t="shared" si="39"/>
        <v>800</v>
      </c>
      <c r="N117" s="103">
        <f t="shared" si="39"/>
        <v>1000</v>
      </c>
    </row>
    <row r="118" spans="1:15" x14ac:dyDescent="0.25">
      <c r="E118" s="71" t="s">
        <v>144</v>
      </c>
      <c r="G118" s="37" t="str">
        <f>Currency</f>
        <v>US$'000</v>
      </c>
      <c r="J118" s="106">
        <f>J116*J117/J115</f>
        <v>798</v>
      </c>
      <c r="K118" s="106">
        <f t="shared" ref="K118:N118" si="40">K116*K117/K115</f>
        <v>1839.1372549019604</v>
      </c>
      <c r="L118" s="106">
        <f t="shared" si="40"/>
        <v>2361.5027691618666</v>
      </c>
      <c r="M118" s="106">
        <f t="shared" si="40"/>
        <v>3267.9390008639057</v>
      </c>
      <c r="N118" s="106">
        <f t="shared" si="40"/>
        <v>4976.2046502902303</v>
      </c>
    </row>
    <row r="120" spans="1:15" x14ac:dyDescent="0.25">
      <c r="E120" s="68" t="s">
        <v>245</v>
      </c>
      <c r="G120" s="37" t="str">
        <f>Weight</f>
        <v>kg</v>
      </c>
      <c r="J120" s="103">
        <f>J115-J117</f>
        <v>200</v>
      </c>
      <c r="K120" s="103">
        <f t="shared" ref="K120:N120" si="41">K115-K117</f>
        <v>569</v>
      </c>
      <c r="L120" s="103">
        <f t="shared" si="41"/>
        <v>282.62</v>
      </c>
      <c r="M120" s="103">
        <f t="shared" si="41"/>
        <v>26.967599999999948</v>
      </c>
      <c r="N120" s="103">
        <f t="shared" si="41"/>
        <v>26.697924000000057</v>
      </c>
    </row>
    <row r="121" spans="1:15" x14ac:dyDescent="0.25">
      <c r="E121" s="68" t="s">
        <v>244</v>
      </c>
      <c r="G121" s="37" t="str">
        <f>Currency</f>
        <v>US$'000</v>
      </c>
      <c r="J121" s="103">
        <f>J116-J118</f>
        <v>798</v>
      </c>
      <c r="K121" s="103">
        <f t="shared" ref="K121:N121" si="42">K116-K118</f>
        <v>2616.1727450980388</v>
      </c>
      <c r="L121" s="103">
        <f t="shared" si="42"/>
        <v>1112.3465210342115</v>
      </c>
      <c r="M121" s="103">
        <f t="shared" si="42"/>
        <v>110.16058974962152</v>
      </c>
      <c r="N121" s="103">
        <f t="shared" si="42"/>
        <v>132.85433356189515</v>
      </c>
    </row>
    <row r="122" spans="1:15" ht="12" x14ac:dyDescent="0.3">
      <c r="E122" s="68" t="s">
        <v>146</v>
      </c>
      <c r="G122" s="37" t="str">
        <f>Weight</f>
        <v>kg</v>
      </c>
      <c r="H122" s="35" t="str">
        <f>"Row "&amp;ROW(J113)</f>
        <v>Row 113</v>
      </c>
      <c r="J122" s="103">
        <f>J113</f>
        <v>6</v>
      </c>
      <c r="K122" s="103">
        <f t="shared" ref="K122:N122" si="43">K113</f>
        <v>11.38</v>
      </c>
      <c r="L122" s="103">
        <f t="shared" si="43"/>
        <v>5.6524000000000001</v>
      </c>
      <c r="M122" s="103">
        <f t="shared" si="43"/>
        <v>0.26967599999999947</v>
      </c>
      <c r="N122" s="103">
        <f t="shared" si="43"/>
        <v>0.26697924000000056</v>
      </c>
    </row>
    <row r="123" spans="1:15" x14ac:dyDescent="0.25">
      <c r="E123" s="68" t="s">
        <v>146</v>
      </c>
      <c r="G123" s="37" t="str">
        <f>Currency</f>
        <v>US$'000</v>
      </c>
      <c r="J123" s="106">
        <f>J121*J122/J120</f>
        <v>23.94</v>
      </c>
      <c r="K123" s="106">
        <f t="shared" ref="K123:N123" si="44">K121*K122/K120</f>
        <v>52.32345490196078</v>
      </c>
      <c r="L123" s="106">
        <f t="shared" si="44"/>
        <v>22.24693042068423</v>
      </c>
      <c r="M123" s="106">
        <f t="shared" si="44"/>
        <v>1.1016058974962153</v>
      </c>
      <c r="N123" s="106">
        <f t="shared" si="44"/>
        <v>1.3285433356189513</v>
      </c>
    </row>
    <row r="125" spans="1:15" ht="14" x14ac:dyDescent="0.3">
      <c r="D125" s="5" t="s">
        <v>246</v>
      </c>
    </row>
    <row r="126" spans="1:15" x14ac:dyDescent="0.2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1:15" x14ac:dyDescent="0.25">
      <c r="A127" s="95"/>
      <c r="B127" s="95"/>
      <c r="C127" s="95"/>
      <c r="D127" s="95"/>
      <c r="E127" s="95" t="s">
        <v>247</v>
      </c>
      <c r="F127" s="95"/>
      <c r="G127" s="112" t="str">
        <f>Weight</f>
        <v>kg</v>
      </c>
      <c r="H127" s="95"/>
      <c r="I127" s="95"/>
      <c r="J127" s="74">
        <f>I131</f>
        <v>0</v>
      </c>
      <c r="K127" s="74">
        <f t="shared" ref="K127:N127" si="45">J131</f>
        <v>194</v>
      </c>
      <c r="L127" s="74">
        <f t="shared" si="45"/>
        <v>557.62</v>
      </c>
      <c r="M127" s="74">
        <f t="shared" si="45"/>
        <v>276.9676</v>
      </c>
      <c r="N127" s="74">
        <f t="shared" si="45"/>
        <v>26.697923999999947</v>
      </c>
      <c r="O127" s="95"/>
    </row>
    <row r="128" spans="1:15" x14ac:dyDescent="0.25">
      <c r="A128" s="95"/>
      <c r="B128" s="95"/>
      <c r="C128" s="95"/>
      <c r="D128" s="95"/>
      <c r="E128" s="95" t="s">
        <v>238</v>
      </c>
      <c r="F128" s="95"/>
      <c r="G128" s="112" t="str">
        <f>Weight</f>
        <v>kg</v>
      </c>
      <c r="H128" s="95"/>
      <c r="I128" s="95"/>
      <c r="J128" s="74">
        <f>J98</f>
        <v>400</v>
      </c>
      <c r="K128" s="74">
        <f t="shared" ref="K128:N128" si="46">K98</f>
        <v>775</v>
      </c>
      <c r="L128" s="74">
        <f t="shared" si="46"/>
        <v>325</v>
      </c>
      <c r="M128" s="74">
        <f t="shared" si="46"/>
        <v>550</v>
      </c>
      <c r="N128" s="74">
        <f t="shared" si="46"/>
        <v>1000</v>
      </c>
      <c r="O128" s="95"/>
    </row>
    <row r="129" spans="1:15" x14ac:dyDescent="0.25">
      <c r="A129" s="95"/>
      <c r="B129" s="95"/>
      <c r="C129" s="95"/>
      <c r="D129" s="95"/>
      <c r="E129" s="95" t="s">
        <v>144</v>
      </c>
      <c r="F129" s="95"/>
      <c r="G129" s="112" t="str">
        <f>Weight</f>
        <v>kg</v>
      </c>
      <c r="H129" s="95"/>
      <c r="I129" s="95"/>
      <c r="J129" s="74">
        <f>-J109</f>
        <v>-200</v>
      </c>
      <c r="K129" s="74">
        <f t="shared" ref="K129:N129" si="47">-K109</f>
        <v>-400</v>
      </c>
      <c r="L129" s="74">
        <f t="shared" si="47"/>
        <v>-600</v>
      </c>
      <c r="M129" s="74">
        <f t="shared" si="47"/>
        <v>-800</v>
      </c>
      <c r="N129" s="74">
        <f t="shared" si="47"/>
        <v>-1000</v>
      </c>
      <c r="O129" s="95"/>
    </row>
    <row r="130" spans="1:15" x14ac:dyDescent="0.25">
      <c r="A130" s="95"/>
      <c r="B130" s="95"/>
      <c r="C130" s="95"/>
      <c r="D130" s="95"/>
      <c r="E130" s="95" t="s">
        <v>146</v>
      </c>
      <c r="F130" s="95"/>
      <c r="G130" s="112" t="str">
        <f>Weight</f>
        <v>kg</v>
      </c>
      <c r="H130" s="95"/>
      <c r="I130" s="95"/>
      <c r="J130" s="74">
        <f>-J113</f>
        <v>-6</v>
      </c>
      <c r="K130" s="74">
        <f t="shared" ref="K130:N130" si="48">-K113</f>
        <v>-11.38</v>
      </c>
      <c r="L130" s="74">
        <f t="shared" si="48"/>
        <v>-5.6524000000000001</v>
      </c>
      <c r="M130" s="74">
        <f t="shared" si="48"/>
        <v>-0.26967599999999947</v>
      </c>
      <c r="N130" s="74">
        <f t="shared" si="48"/>
        <v>-0.26697924000000056</v>
      </c>
      <c r="O130" s="95"/>
    </row>
    <row r="131" spans="1:15" ht="12.5" thickBot="1" x14ac:dyDescent="0.35">
      <c r="A131" s="95"/>
      <c r="B131" s="95"/>
      <c r="C131" s="95"/>
      <c r="D131" s="95"/>
      <c r="E131" s="95" t="s">
        <v>248</v>
      </c>
      <c r="F131" s="95"/>
      <c r="G131" s="112" t="str">
        <f>Weight</f>
        <v>kg</v>
      </c>
      <c r="H131" s="95"/>
      <c r="I131" s="111"/>
      <c r="J131" s="109">
        <f>SUM(J127:J130)</f>
        <v>194</v>
      </c>
      <c r="K131" s="77">
        <f>SUM(K127:K130)</f>
        <v>557.62</v>
      </c>
      <c r="L131" s="77">
        <f t="shared" ref="L131:N131" si="49">SUM(L127:L130)</f>
        <v>276.9676</v>
      </c>
      <c r="M131" s="77">
        <f t="shared" si="49"/>
        <v>26.697923999999947</v>
      </c>
      <c r="N131" s="77">
        <f t="shared" si="49"/>
        <v>26.430944760000056</v>
      </c>
      <c r="O131" s="95"/>
    </row>
    <row r="132" spans="1:15" ht="12" thickTop="1" x14ac:dyDescent="0.25">
      <c r="A132" s="95"/>
      <c r="B132" s="95"/>
      <c r="C132" s="95"/>
      <c r="D132" s="95"/>
      <c r="E132" s="95"/>
      <c r="F132" s="95"/>
      <c r="G132" s="95"/>
      <c r="H132" s="95"/>
      <c r="I132" s="95"/>
      <c r="J132" s="74"/>
      <c r="K132" s="74"/>
      <c r="L132" s="74"/>
      <c r="M132" s="74"/>
      <c r="N132" s="74"/>
      <c r="O132" s="95"/>
    </row>
    <row r="133" spans="1:15" ht="14" x14ac:dyDescent="0.3">
      <c r="D133" s="5" t="s">
        <v>249</v>
      </c>
      <c r="J133" s="74"/>
      <c r="K133" s="74"/>
      <c r="L133" s="74"/>
      <c r="M133" s="74"/>
      <c r="N133" s="74"/>
    </row>
    <row r="134" spans="1:15" x14ac:dyDescent="0.25">
      <c r="A134" s="95"/>
      <c r="B134" s="95"/>
      <c r="C134" s="95"/>
      <c r="D134" s="95"/>
      <c r="E134" s="95"/>
      <c r="F134" s="95"/>
      <c r="G134" s="95"/>
      <c r="H134" s="95"/>
      <c r="I134" s="95"/>
      <c r="J134" s="74"/>
      <c r="K134" s="74"/>
      <c r="L134" s="74"/>
      <c r="M134" s="74"/>
      <c r="N134" s="74"/>
      <c r="O134" s="95"/>
    </row>
    <row r="135" spans="1:15" ht="12" x14ac:dyDescent="0.3">
      <c r="A135" s="95"/>
      <c r="B135" s="95"/>
      <c r="C135" s="95"/>
      <c r="D135" s="95"/>
      <c r="E135" s="95" t="s">
        <v>247</v>
      </c>
      <c r="F135" s="95"/>
      <c r="G135" s="112" t="str">
        <f>Currency</f>
        <v>US$'000</v>
      </c>
      <c r="H135" s="95"/>
      <c r="I135" s="95"/>
      <c r="J135" s="74">
        <f>I139</f>
        <v>0</v>
      </c>
      <c r="K135" s="74">
        <f t="shared" ref="K135:N135" si="50">J139</f>
        <v>774.06</v>
      </c>
      <c r="L135" s="74">
        <f t="shared" si="50"/>
        <v>2563.8492901960781</v>
      </c>
      <c r="M135" s="74">
        <f t="shared" si="50"/>
        <v>1090.0995906135272</v>
      </c>
      <c r="N135" s="74">
        <f t="shared" si="50"/>
        <v>109.05898385212531</v>
      </c>
      <c r="O135" s="110" t="str">
        <f>Balance_Sheet</f>
        <v>BS</v>
      </c>
    </row>
    <row r="136" spans="1:15" ht="12" x14ac:dyDescent="0.3">
      <c r="A136" s="95"/>
      <c r="B136" s="95"/>
      <c r="C136" s="95"/>
      <c r="D136" s="95"/>
      <c r="E136" s="95" t="s">
        <v>238</v>
      </c>
      <c r="F136" s="95"/>
      <c r="G136" s="112" t="str">
        <f>Currency</f>
        <v>US$'000</v>
      </c>
      <c r="H136" s="95"/>
      <c r="I136" s="95"/>
      <c r="J136" s="74">
        <f>J99</f>
        <v>1596</v>
      </c>
      <c r="K136" s="74">
        <f t="shared" ref="K136:N136" si="51">K99</f>
        <v>3681.25</v>
      </c>
      <c r="L136" s="74">
        <f t="shared" si="51"/>
        <v>910</v>
      </c>
      <c r="M136" s="74">
        <f t="shared" si="51"/>
        <v>2288</v>
      </c>
      <c r="N136" s="74">
        <f t="shared" si="51"/>
        <v>5000</v>
      </c>
      <c r="O136" s="28"/>
    </row>
    <row r="137" spans="1:15" ht="12" x14ac:dyDescent="0.3">
      <c r="A137" s="95"/>
      <c r="B137" s="95"/>
      <c r="C137" s="95"/>
      <c r="D137" s="95"/>
      <c r="E137" s="95" t="s">
        <v>144</v>
      </c>
      <c r="F137" s="95"/>
      <c r="G137" s="112" t="str">
        <f>Currency</f>
        <v>US$'000</v>
      </c>
      <c r="H137" s="95"/>
      <c r="I137" s="95"/>
      <c r="J137" s="74">
        <f>-J118</f>
        <v>-798</v>
      </c>
      <c r="K137" s="74">
        <f t="shared" ref="K137:N137" si="52">-K118</f>
        <v>-1839.1372549019604</v>
      </c>
      <c r="L137" s="74">
        <f t="shared" si="52"/>
        <v>-2361.5027691618666</v>
      </c>
      <c r="M137" s="74">
        <f t="shared" si="52"/>
        <v>-3267.9390008639057</v>
      </c>
      <c r="N137" s="74">
        <f t="shared" si="52"/>
        <v>-4976.2046502902303</v>
      </c>
      <c r="O137" s="110" t="str">
        <f>Income_Statement</f>
        <v>IS</v>
      </c>
    </row>
    <row r="138" spans="1:15" ht="12" x14ac:dyDescent="0.3">
      <c r="A138" s="95"/>
      <c r="B138" s="95"/>
      <c r="C138" s="95"/>
      <c r="D138" s="95"/>
      <c r="E138" s="95" t="s">
        <v>146</v>
      </c>
      <c r="F138" s="95"/>
      <c r="G138" s="112" t="str">
        <f>Currency</f>
        <v>US$'000</v>
      </c>
      <c r="H138" s="95"/>
      <c r="I138" s="95"/>
      <c r="J138" s="74">
        <f>-J123</f>
        <v>-23.94</v>
      </c>
      <c r="K138" s="74">
        <f t="shared" ref="K138:N138" si="53">-K123</f>
        <v>-52.32345490196078</v>
      </c>
      <c r="L138" s="74">
        <f t="shared" si="53"/>
        <v>-22.24693042068423</v>
      </c>
      <c r="M138" s="74">
        <f t="shared" si="53"/>
        <v>-1.1016058974962153</v>
      </c>
      <c r="N138" s="74">
        <f t="shared" si="53"/>
        <v>-1.3285433356189513</v>
      </c>
      <c r="O138" s="110" t="str">
        <f>Income_Statement</f>
        <v>IS</v>
      </c>
    </row>
    <row r="139" spans="1:15" ht="12.5" thickBot="1" x14ac:dyDescent="0.35">
      <c r="A139" s="95"/>
      <c r="B139" s="95"/>
      <c r="C139" s="95"/>
      <c r="D139" s="95"/>
      <c r="E139" s="95" t="s">
        <v>248</v>
      </c>
      <c r="F139" s="95"/>
      <c r="G139" s="112" t="str">
        <f>Currency</f>
        <v>US$'000</v>
      </c>
      <c r="H139" s="95"/>
      <c r="I139" s="92">
        <f>'Opening Balance Sheet'!$I$16</f>
        <v>0</v>
      </c>
      <c r="J139" s="109">
        <f>SUM(J135:J138)</f>
        <v>774.06</v>
      </c>
      <c r="K139" s="77">
        <f>SUM(K135:K138)</f>
        <v>2563.8492901960781</v>
      </c>
      <c r="L139" s="77">
        <f t="shared" ref="L139" si="54">SUM(L135:L138)</f>
        <v>1090.0995906135272</v>
      </c>
      <c r="M139" s="77">
        <f t="shared" ref="M139" si="55">SUM(M135:M138)</f>
        <v>109.05898385212531</v>
      </c>
      <c r="N139" s="77">
        <f t="shared" ref="N139" si="56">SUM(N135:N138)</f>
        <v>131.5257902262762</v>
      </c>
      <c r="O139" s="110" t="str">
        <f>Balance_Sheet</f>
        <v>BS</v>
      </c>
    </row>
    <row r="140" spans="1:15" ht="12" thickTop="1" x14ac:dyDescent="0.2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1:15" x14ac:dyDescent="0.2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1:15" ht="16.5" x14ac:dyDescent="0.35">
      <c r="A142" s="95"/>
      <c r="B142" s="95"/>
      <c r="C142" s="78" t="s">
        <v>260</v>
      </c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1:15" x14ac:dyDescent="0.25">
      <c r="C143" s="23" t="str">
        <f>Assumptions!C52</f>
        <v>All expenses are assumed to be paid as they are incurred</v>
      </c>
    </row>
    <row r="145" spans="4:15" ht="14" x14ac:dyDescent="0.3">
      <c r="D145" s="5" t="str">
        <f>Assumptions!D54</f>
        <v>Opex</v>
      </c>
    </row>
    <row r="146" spans="4:15" x14ac:dyDescent="0.25">
      <c r="G146" s="37"/>
    </row>
    <row r="147" spans="4:15" x14ac:dyDescent="0.25">
      <c r="E147" s="68" t="str">
        <f>Assumptions!E56</f>
        <v xml:space="preserve">Growth rates used from </v>
      </c>
      <c r="G147" s="37" t="str">
        <f>Year</f>
        <v>Year</v>
      </c>
      <c r="I147" s="115">
        <f>Assumptions!I56</f>
        <v>45107</v>
      </c>
    </row>
    <row r="148" spans="4:15" x14ac:dyDescent="0.25">
      <c r="E148" s="68" t="s">
        <v>258</v>
      </c>
      <c r="G148" s="37" t="str">
        <f>Boolean</f>
        <v>[1,0]</v>
      </c>
      <c r="J148" s="60">
        <f>($I$147&lt;=J$7)*1</f>
        <v>0</v>
      </c>
      <c r="K148" s="60">
        <f t="shared" ref="K148:N148" si="57">($I$147&lt;=K$7)*1</f>
        <v>0</v>
      </c>
      <c r="L148" s="60">
        <f t="shared" si="57"/>
        <v>0</v>
      </c>
      <c r="M148" s="60">
        <f t="shared" si="57"/>
        <v>1</v>
      </c>
      <c r="N148" s="60">
        <f t="shared" si="57"/>
        <v>1</v>
      </c>
    </row>
    <row r="149" spans="4:15" x14ac:dyDescent="0.25">
      <c r="G149" s="37"/>
    </row>
    <row r="150" spans="4:15" x14ac:dyDescent="0.25">
      <c r="E150" s="68" t="str">
        <f>Assumptions!E57</f>
        <v>Amounts</v>
      </c>
      <c r="G150" s="37" t="str">
        <f>Currency</f>
        <v>US$'000</v>
      </c>
      <c r="J150" s="33">
        <f>Assumptions!J57</f>
        <v>60</v>
      </c>
      <c r="K150" s="33">
        <f>Assumptions!K57</f>
        <v>65</v>
      </c>
      <c r="L150" s="33">
        <f>Assumptions!L57</f>
        <v>70</v>
      </c>
      <c r="M150" s="33">
        <f>Assumptions!M57</f>
        <v>75</v>
      </c>
      <c r="N150" s="33">
        <f>Assumptions!N57</f>
        <v>80</v>
      </c>
    </row>
    <row r="151" spans="4:15" ht="12" x14ac:dyDescent="0.3">
      <c r="E151" s="89" t="str">
        <f>Assumptions!E58</f>
        <v>Growth rates</v>
      </c>
      <c r="G151" s="37" t="str">
        <f>Percentage</f>
        <v>%</v>
      </c>
      <c r="J151" s="28"/>
      <c r="K151" s="118">
        <f>Assumptions!K58</f>
        <v>0.05</v>
      </c>
      <c r="L151" s="118">
        <f>Assumptions!L58</f>
        <v>0.04</v>
      </c>
      <c r="M151" s="118">
        <f>Assumptions!M58</f>
        <v>0.03</v>
      </c>
      <c r="N151" s="118">
        <f>Assumptions!N58</f>
        <v>0.02</v>
      </c>
    </row>
    <row r="152" spans="4:15" x14ac:dyDescent="0.25">
      <c r="G152" s="37"/>
    </row>
    <row r="153" spans="4:15" x14ac:dyDescent="0.25">
      <c r="E153" s="68" t="str">
        <f>D145</f>
        <v>Opex</v>
      </c>
      <c r="G153" s="37" t="str">
        <f>Currency</f>
        <v>US$'000</v>
      </c>
      <c r="J153" s="39">
        <f>(1-J148)*J150+(J148*I153*(1+J151))</f>
        <v>60</v>
      </c>
      <c r="K153" s="39">
        <f t="shared" ref="K153:N153" si="58">(1-K148)*K150+(K148*J153*(1+K151))</f>
        <v>65</v>
      </c>
      <c r="L153" s="39">
        <f t="shared" si="58"/>
        <v>70</v>
      </c>
      <c r="M153" s="39">
        <f t="shared" si="58"/>
        <v>72.100000000000009</v>
      </c>
      <c r="N153" s="39">
        <f t="shared" si="58"/>
        <v>73.542000000000016</v>
      </c>
    </row>
    <row r="155" spans="4:15" ht="14" x14ac:dyDescent="0.3">
      <c r="D155" s="5" t="s">
        <v>224</v>
      </c>
      <c r="E155" s="89"/>
      <c r="F155" s="89"/>
      <c r="G155" s="37"/>
      <c r="H155" s="89"/>
      <c r="I155" s="39"/>
      <c r="J155" s="39"/>
      <c r="K155" s="39"/>
      <c r="L155" s="39"/>
      <c r="M155" s="39"/>
      <c r="N155" s="39"/>
      <c r="O155" s="37"/>
    </row>
    <row r="156" spans="4:15" ht="14" x14ac:dyDescent="0.3">
      <c r="D156" s="5"/>
      <c r="E156" s="89"/>
      <c r="F156" s="89"/>
      <c r="G156" s="37"/>
      <c r="H156" s="89"/>
      <c r="I156" s="39"/>
      <c r="J156" s="39"/>
      <c r="K156" s="39"/>
      <c r="L156" s="39"/>
      <c r="M156" s="39"/>
      <c r="N156" s="39"/>
      <c r="O156" s="37"/>
    </row>
    <row r="157" spans="4:15" ht="14" x14ac:dyDescent="0.3">
      <c r="D157" s="5"/>
      <c r="E157" s="89" t="str">
        <f>E53</f>
        <v>Days payable</v>
      </c>
      <c r="F157" s="89"/>
      <c r="G157" s="37" t="str">
        <f>No._of_days</f>
        <v># Days</v>
      </c>
      <c r="H157" s="89"/>
      <c r="I157" s="89"/>
      <c r="J157" s="28"/>
      <c r="K157" s="28"/>
      <c r="L157" s="28"/>
      <c r="M157" s="28"/>
      <c r="N157" s="28"/>
      <c r="O157" s="37"/>
    </row>
    <row r="158" spans="4:15" ht="14" x14ac:dyDescent="0.3">
      <c r="D158" s="5"/>
      <c r="E158" s="89"/>
      <c r="F158" s="89"/>
      <c r="G158" s="37"/>
      <c r="H158" s="89"/>
      <c r="I158" s="89"/>
      <c r="J158" s="89"/>
      <c r="K158" s="89"/>
      <c r="L158" s="89"/>
      <c r="M158" s="89"/>
      <c r="N158" s="89"/>
      <c r="O158" s="37"/>
    </row>
    <row r="159" spans="4:15" ht="14" x14ac:dyDescent="0.3">
      <c r="D159" s="5"/>
      <c r="E159" s="89" t="s">
        <v>227</v>
      </c>
      <c r="F159" s="89"/>
      <c r="G159" s="37" t="str">
        <f>No._of_days</f>
        <v># Days</v>
      </c>
      <c r="H159" s="89"/>
      <c r="I159" s="89"/>
      <c r="J159" s="39">
        <f>J$8</f>
        <v>366</v>
      </c>
      <c r="K159" s="39">
        <f t="shared" ref="K159:N159" si="59">K$8</f>
        <v>365</v>
      </c>
      <c r="L159" s="39">
        <f t="shared" si="59"/>
        <v>365</v>
      </c>
      <c r="M159" s="39">
        <f t="shared" si="59"/>
        <v>365</v>
      </c>
      <c r="N159" s="39">
        <f t="shared" si="59"/>
        <v>366</v>
      </c>
      <c r="O159" s="37"/>
    </row>
    <row r="160" spans="4:15" ht="14" x14ac:dyDescent="0.3">
      <c r="D160" s="5"/>
      <c r="E160" s="89"/>
      <c r="F160" s="89"/>
      <c r="G160" s="37"/>
      <c r="H160" s="89"/>
      <c r="I160" s="89"/>
      <c r="J160" s="89"/>
      <c r="K160" s="89"/>
      <c r="L160" s="89"/>
      <c r="M160" s="89"/>
      <c r="N160" s="89"/>
      <c r="O160" s="37"/>
    </row>
    <row r="161" spans="3:15" ht="14" x14ac:dyDescent="0.3">
      <c r="D161" s="5"/>
      <c r="E161" s="89" t="s">
        <v>235</v>
      </c>
      <c r="F161" s="89"/>
      <c r="G161" s="37" t="str">
        <f>Currency</f>
        <v>US$'000</v>
      </c>
      <c r="H161" s="89"/>
      <c r="I161" s="89"/>
      <c r="J161" s="39">
        <f>J153*J157/J159</f>
        <v>0</v>
      </c>
      <c r="K161" s="39">
        <f t="shared" ref="K161:N161" si="60">K153*K157/K159</f>
        <v>0</v>
      </c>
      <c r="L161" s="39">
        <f t="shared" si="60"/>
        <v>0</v>
      </c>
      <c r="M161" s="39">
        <f t="shared" si="60"/>
        <v>0</v>
      </c>
      <c r="N161" s="39">
        <f t="shared" si="60"/>
        <v>0</v>
      </c>
      <c r="O161" s="37"/>
    </row>
    <row r="162" spans="3:15" ht="14" x14ac:dyDescent="0.3">
      <c r="D162" s="5"/>
      <c r="E162" s="89"/>
      <c r="F162" s="89"/>
      <c r="G162" s="37"/>
      <c r="H162" s="89"/>
      <c r="I162" s="89"/>
      <c r="J162" s="89"/>
      <c r="K162" s="89"/>
      <c r="L162" s="89"/>
      <c r="M162" s="89"/>
      <c r="N162" s="89"/>
      <c r="O162" s="37"/>
    </row>
    <row r="163" spans="3:15" ht="14" x14ac:dyDescent="0.3">
      <c r="D163" s="5" t="s">
        <v>229</v>
      </c>
      <c r="E163" s="89"/>
      <c r="F163" s="89"/>
      <c r="G163" s="37"/>
      <c r="H163" s="89"/>
      <c r="I163" s="89"/>
      <c r="J163" s="89"/>
      <c r="K163" s="89"/>
      <c r="L163" s="89"/>
      <c r="M163" s="89"/>
      <c r="N163" s="89"/>
      <c r="O163" s="37"/>
    </row>
    <row r="164" spans="3:15" x14ac:dyDescent="0.25">
      <c r="D164" s="89"/>
      <c r="E164" s="89"/>
      <c r="F164" s="89"/>
      <c r="G164" s="37"/>
      <c r="H164" s="89"/>
      <c r="I164" s="89"/>
      <c r="J164" s="89"/>
      <c r="K164" s="89"/>
      <c r="L164" s="89"/>
      <c r="M164" s="89"/>
      <c r="N164" s="89"/>
      <c r="O164" s="37"/>
    </row>
    <row r="165" spans="3:15" ht="14.5" x14ac:dyDescent="0.35">
      <c r="D165" s="89"/>
      <c r="E165" s="89" t="s">
        <v>236</v>
      </c>
      <c r="F165" s="89"/>
      <c r="G165" s="37" t="str">
        <f>Currency</f>
        <v>US$'000</v>
      </c>
      <c r="H165" s="89"/>
      <c r="I165" s="39"/>
      <c r="J165" s="39">
        <f>I168</f>
        <v>0</v>
      </c>
      <c r="K165" s="39">
        <f t="shared" ref="K165" si="61">J168</f>
        <v>0</v>
      </c>
      <c r="L165" s="39">
        <f t="shared" ref="L165" si="62">K168</f>
        <v>0</v>
      </c>
      <c r="M165" s="39">
        <f t="shared" ref="M165" si="63">L168</f>
        <v>0</v>
      </c>
      <c r="N165" s="39">
        <f t="shared" ref="N165" si="64">M168</f>
        <v>0</v>
      </c>
      <c r="O165" s="93" t="s">
        <v>109</v>
      </c>
    </row>
    <row r="166" spans="3:15" ht="14.5" x14ac:dyDescent="0.35">
      <c r="D166" s="89"/>
      <c r="E166" s="89" t="str">
        <f>D145</f>
        <v>Opex</v>
      </c>
      <c r="F166" s="89"/>
      <c r="G166" s="37" t="str">
        <f>Currency</f>
        <v>US$'000</v>
      </c>
      <c r="H166" s="89"/>
      <c r="I166" s="39"/>
      <c r="J166" s="39">
        <f>J153</f>
        <v>60</v>
      </c>
      <c r="K166" s="39">
        <f t="shared" ref="K166:N166" si="65">K153</f>
        <v>65</v>
      </c>
      <c r="L166" s="39">
        <f t="shared" si="65"/>
        <v>70</v>
      </c>
      <c r="M166" s="39">
        <f t="shared" si="65"/>
        <v>72.100000000000009</v>
      </c>
      <c r="N166" s="39">
        <f t="shared" si="65"/>
        <v>73.542000000000016</v>
      </c>
      <c r="O166" s="93" t="s">
        <v>108</v>
      </c>
    </row>
    <row r="167" spans="3:15" ht="14.5" x14ac:dyDescent="0.35">
      <c r="D167" s="89"/>
      <c r="E167" s="89" t="s">
        <v>185</v>
      </c>
      <c r="F167" s="89"/>
      <c r="G167" s="37" t="str">
        <f>Currency</f>
        <v>US$'000</v>
      </c>
      <c r="H167" s="89"/>
      <c r="I167" s="39"/>
      <c r="J167" s="39">
        <f>J168-SUM(J165:J166)</f>
        <v>-60</v>
      </c>
      <c r="K167" s="39">
        <f t="shared" ref="K167:N167" si="66">K168-SUM(K165:K166)</f>
        <v>-65</v>
      </c>
      <c r="L167" s="39">
        <f t="shared" si="66"/>
        <v>-70</v>
      </c>
      <c r="M167" s="39">
        <f t="shared" si="66"/>
        <v>-72.100000000000009</v>
      </c>
      <c r="N167" s="39">
        <f t="shared" si="66"/>
        <v>-73.542000000000016</v>
      </c>
      <c r="O167" s="93" t="s">
        <v>110</v>
      </c>
    </row>
    <row r="168" spans="3:15" ht="14.5" x14ac:dyDescent="0.35">
      <c r="D168" s="89"/>
      <c r="E168" s="89" t="s">
        <v>235</v>
      </c>
      <c r="F168" s="89"/>
      <c r="G168" s="37" t="str">
        <f>Currency</f>
        <v>US$'000</v>
      </c>
      <c r="H168" s="89"/>
      <c r="I168" s="28"/>
      <c r="J168" s="94">
        <f>J161</f>
        <v>0</v>
      </c>
      <c r="K168" s="72">
        <f t="shared" ref="K168:N168" si="67">K161</f>
        <v>0</v>
      </c>
      <c r="L168" s="72">
        <f t="shared" si="67"/>
        <v>0</v>
      </c>
      <c r="M168" s="72">
        <f t="shared" si="67"/>
        <v>0</v>
      </c>
      <c r="N168" s="72">
        <f t="shared" si="67"/>
        <v>0</v>
      </c>
      <c r="O168" s="93" t="s">
        <v>109</v>
      </c>
    </row>
    <row r="171" spans="3:15" ht="16.5" x14ac:dyDescent="0.35">
      <c r="C171" s="78" t="str">
        <f>Assumptions!C61</f>
        <v>Capex and related</v>
      </c>
    </row>
    <row r="173" spans="3:15" ht="14" x14ac:dyDescent="0.3">
      <c r="D173" s="5" t="str">
        <f>Assumptions!D63</f>
        <v>Capital expenditure</v>
      </c>
    </row>
    <row r="175" spans="3:15" x14ac:dyDescent="0.25">
      <c r="E175" s="68" t="s">
        <v>268</v>
      </c>
      <c r="G175" s="37" t="str">
        <f>Currency</f>
        <v>US$'000</v>
      </c>
      <c r="I175" s="91">
        <f>'Opening Balance Sheet'!$I$21</f>
        <v>0</v>
      </c>
    </row>
    <row r="176" spans="3:15" x14ac:dyDescent="0.25">
      <c r="E176" s="68" t="str">
        <f>Assumptions!E65</f>
        <v>Capital expenditure</v>
      </c>
      <c r="G176" s="37" t="str">
        <f>Currency</f>
        <v>US$'000</v>
      </c>
      <c r="J176" s="91">
        <f>Assumptions!J65</f>
        <v>150</v>
      </c>
      <c r="K176" s="91">
        <f>Assumptions!K65</f>
        <v>180</v>
      </c>
      <c r="L176" s="91">
        <f>Assumptions!L65</f>
        <v>120</v>
      </c>
      <c r="M176" s="91">
        <f>Assumptions!M65</f>
        <v>90</v>
      </c>
      <c r="N176" s="91">
        <f>Assumptions!N65</f>
        <v>100</v>
      </c>
    </row>
    <row r="177" spans="4:14" x14ac:dyDescent="0.25">
      <c r="G177" s="37"/>
    </row>
    <row r="178" spans="4:14" ht="14" x14ac:dyDescent="0.3">
      <c r="D178" s="5" t="str">
        <f>Assumptions!D67</f>
        <v>Accounting depreciation - straight line</v>
      </c>
      <c r="G178" s="37"/>
    </row>
    <row r="179" spans="4:14" x14ac:dyDescent="0.25">
      <c r="G179" s="37"/>
    </row>
    <row r="180" spans="4:14" x14ac:dyDescent="0.25">
      <c r="E180" s="68" t="str">
        <f>Assumptions!E69</f>
        <v>Remaining life of existing assets</v>
      </c>
      <c r="G180" s="37" t="str">
        <f>No_of_Years</f>
        <v># Year(s)</v>
      </c>
      <c r="I180" s="121">
        <f>Assumptions!I69</f>
        <v>5</v>
      </c>
    </row>
    <row r="181" spans="4:14" x14ac:dyDescent="0.25">
      <c r="E181" s="97" t="str">
        <f>Assumptions!E70</f>
        <v>Annual rate</v>
      </c>
      <c r="G181" s="37" t="str">
        <f>Percentage</f>
        <v>%</v>
      </c>
      <c r="I181" s="96">
        <f>Assumptions!I70</f>
        <v>0.2</v>
      </c>
    </row>
    <row r="182" spans="4:14" x14ac:dyDescent="0.25">
      <c r="E182" s="97"/>
      <c r="G182" s="37"/>
    </row>
    <row r="183" spans="4:14" x14ac:dyDescent="0.25">
      <c r="E183" s="97" t="str">
        <f>Assumptions!E72</f>
        <v>Economic life of new capex</v>
      </c>
      <c r="G183" s="37" t="str">
        <f>No_of_Years</f>
        <v># Year(s)</v>
      </c>
      <c r="I183" s="121">
        <f>Assumptions!I72</f>
        <v>4</v>
      </c>
    </row>
    <row r="184" spans="4:14" x14ac:dyDescent="0.25">
      <c r="E184" s="97" t="str">
        <f>Assumptions!E73</f>
        <v>Annual rate</v>
      </c>
      <c r="G184" s="37" t="str">
        <f>Percentage</f>
        <v>%</v>
      </c>
      <c r="I184" s="96">
        <f>Assumptions!I73</f>
        <v>0.25</v>
      </c>
    </row>
    <row r="185" spans="4:14" x14ac:dyDescent="0.25">
      <c r="G185" s="37"/>
    </row>
    <row r="186" spans="4:14" x14ac:dyDescent="0.25">
      <c r="E186" s="68" t="s">
        <v>269</v>
      </c>
      <c r="G186" s="37" t="str">
        <f>Currency</f>
        <v>US$'000</v>
      </c>
      <c r="I186" s="39">
        <f>I175*I181</f>
        <v>0</v>
      </c>
    </row>
    <row r="187" spans="4:14" x14ac:dyDescent="0.25">
      <c r="E187" s="68" t="s">
        <v>270</v>
      </c>
      <c r="G187" s="37" t="str">
        <f>Currency</f>
        <v>US$'000</v>
      </c>
      <c r="J187" s="39">
        <f>J176*$I$184</f>
        <v>37.5</v>
      </c>
      <c r="K187" s="39">
        <f t="shared" ref="K187:N187" si="68">K176*$I$184</f>
        <v>45</v>
      </c>
      <c r="L187" s="39">
        <f t="shared" si="68"/>
        <v>30</v>
      </c>
      <c r="M187" s="39">
        <f t="shared" si="68"/>
        <v>22.5</v>
      </c>
      <c r="N187" s="39">
        <f t="shared" si="68"/>
        <v>25</v>
      </c>
    </row>
    <row r="188" spans="4:14" x14ac:dyDescent="0.25">
      <c r="G188" s="37"/>
    </row>
    <row r="189" spans="4:14" x14ac:dyDescent="0.25">
      <c r="E189" s="68" t="s">
        <v>271</v>
      </c>
      <c r="G189" s="37" t="s">
        <v>272</v>
      </c>
      <c r="J189" s="39">
        <f>MIN(J$9,$I$183)</f>
        <v>1</v>
      </c>
      <c r="K189" s="39">
        <f t="shared" ref="K189:N189" si="69">MIN(K$9,$I$183)</f>
        <v>2</v>
      </c>
      <c r="L189" s="39">
        <f t="shared" si="69"/>
        <v>3</v>
      </c>
      <c r="M189" s="39">
        <f t="shared" si="69"/>
        <v>4</v>
      </c>
      <c r="N189" s="39">
        <f t="shared" si="69"/>
        <v>4</v>
      </c>
    </row>
    <row r="190" spans="4:14" x14ac:dyDescent="0.25">
      <c r="G190" s="37"/>
    </row>
    <row r="191" spans="4:14" x14ac:dyDescent="0.25">
      <c r="E191" s="68" t="s">
        <v>276</v>
      </c>
      <c r="G191" s="37" t="str">
        <f>Currency</f>
        <v>US$'000</v>
      </c>
      <c r="J191" s="39">
        <f>IF(J$9&gt;$I$180,,$I$186)</f>
        <v>0</v>
      </c>
      <c r="K191" s="39">
        <f t="shared" ref="K191:N191" si="70">IF(K$9&gt;$I$180,,$I$186)</f>
        <v>0</v>
      </c>
      <c r="L191" s="39">
        <f t="shared" si="70"/>
        <v>0</v>
      </c>
      <c r="M191" s="39">
        <f t="shared" si="70"/>
        <v>0</v>
      </c>
      <c r="N191" s="39">
        <f t="shared" si="70"/>
        <v>0</v>
      </c>
    </row>
    <row r="192" spans="4:14" x14ac:dyDescent="0.25">
      <c r="E192" s="68" t="s">
        <v>277</v>
      </c>
      <c r="G192" s="37" t="str">
        <f>Currency</f>
        <v>US$'000</v>
      </c>
      <c r="J192" s="122">
        <f ca="1">SUM(OFFSET(J187,,,,-J189))</f>
        <v>37.5</v>
      </c>
      <c r="K192" s="122">
        <f t="shared" ref="K192:N192" ca="1" si="71">SUM(OFFSET(K187,,,,-K189))</f>
        <v>82.5</v>
      </c>
      <c r="L192" s="122">
        <f t="shared" ca="1" si="71"/>
        <v>112.5</v>
      </c>
      <c r="M192" s="122">
        <f t="shared" ca="1" si="71"/>
        <v>135</v>
      </c>
      <c r="N192" s="122">
        <f t="shared" ca="1" si="71"/>
        <v>122.5</v>
      </c>
    </row>
    <row r="193" spans="3:15" x14ac:dyDescent="0.25">
      <c r="E193" s="68" t="s">
        <v>273</v>
      </c>
      <c r="G193" s="37" t="str">
        <f>Currency</f>
        <v>US$'000</v>
      </c>
      <c r="J193" s="123">
        <f ca="1">SUM(J191:J192)</f>
        <v>37.5</v>
      </c>
      <c r="K193" s="123">
        <f t="shared" ref="K193:N193" ca="1" si="72">SUM(K191:K192)</f>
        <v>82.5</v>
      </c>
      <c r="L193" s="123">
        <f t="shared" ca="1" si="72"/>
        <v>112.5</v>
      </c>
      <c r="M193" s="123">
        <f t="shared" ca="1" si="72"/>
        <v>135</v>
      </c>
      <c r="N193" s="123">
        <f t="shared" ca="1" si="72"/>
        <v>122.5</v>
      </c>
    </row>
    <row r="194" spans="3:15" x14ac:dyDescent="0.25">
      <c r="G194" s="37"/>
    </row>
    <row r="195" spans="3:15" ht="14" x14ac:dyDescent="0.3">
      <c r="D195" s="5" t="s">
        <v>229</v>
      </c>
      <c r="G195" s="37"/>
    </row>
    <row r="196" spans="3:15" ht="14" x14ac:dyDescent="0.3">
      <c r="D196" s="5"/>
      <c r="G196" s="37"/>
    </row>
    <row r="197" spans="3:15" ht="14.5" x14ac:dyDescent="0.35">
      <c r="E197" s="68" t="s">
        <v>274</v>
      </c>
      <c r="G197" s="37" t="str">
        <f>Currency</f>
        <v>US$'000</v>
      </c>
      <c r="I197" s="39"/>
      <c r="J197" s="39">
        <f>I200</f>
        <v>0</v>
      </c>
      <c r="K197" s="39">
        <f t="shared" ref="K197" ca="1" si="73">J200</f>
        <v>112.5</v>
      </c>
      <c r="L197" s="39">
        <f t="shared" ref="L197" ca="1" si="74">K200</f>
        <v>210</v>
      </c>
      <c r="M197" s="39">
        <f t="shared" ref="M197" ca="1" si="75">L200</f>
        <v>217.5</v>
      </c>
      <c r="N197" s="39">
        <f t="shared" ref="N197" ca="1" si="76">M200</f>
        <v>172.5</v>
      </c>
      <c r="O197" s="93" t="s">
        <v>109</v>
      </c>
    </row>
    <row r="198" spans="3:15" ht="14.5" x14ac:dyDescent="0.35">
      <c r="E198" s="68" t="s">
        <v>262</v>
      </c>
      <c r="G198" s="37" t="str">
        <f>Currency</f>
        <v>US$'000</v>
      </c>
      <c r="I198" s="39"/>
      <c r="J198" s="39">
        <f>J176</f>
        <v>150</v>
      </c>
      <c r="K198" s="39">
        <f t="shared" ref="K198:N198" si="77">K176</f>
        <v>180</v>
      </c>
      <c r="L198" s="39">
        <f t="shared" si="77"/>
        <v>120</v>
      </c>
      <c r="M198" s="39">
        <f t="shared" si="77"/>
        <v>90</v>
      </c>
      <c r="N198" s="39">
        <f t="shared" si="77"/>
        <v>100</v>
      </c>
      <c r="O198" s="93" t="str">
        <f>Cash_Flow_Statement</f>
        <v>CFS</v>
      </c>
    </row>
    <row r="199" spans="3:15" ht="14.5" x14ac:dyDescent="0.35">
      <c r="E199" s="68" t="s">
        <v>149</v>
      </c>
      <c r="G199" s="37" t="str">
        <f>Currency</f>
        <v>US$'000</v>
      </c>
      <c r="I199" s="39"/>
      <c r="J199" s="39">
        <f ca="1">-J193</f>
        <v>-37.5</v>
      </c>
      <c r="K199" s="39">
        <f t="shared" ref="K199:N199" ca="1" si="78">-K193</f>
        <v>-82.5</v>
      </c>
      <c r="L199" s="39">
        <f t="shared" ca="1" si="78"/>
        <v>-112.5</v>
      </c>
      <c r="M199" s="39">
        <f t="shared" ca="1" si="78"/>
        <v>-135</v>
      </c>
      <c r="N199" s="39">
        <f t="shared" ca="1" si="78"/>
        <v>-122.5</v>
      </c>
      <c r="O199" s="93" t="str">
        <f>Income_Statement</f>
        <v>IS</v>
      </c>
    </row>
    <row r="200" spans="3:15" ht="14.5" x14ac:dyDescent="0.35">
      <c r="E200" s="68" t="s">
        <v>275</v>
      </c>
      <c r="G200" s="37" t="str">
        <f>Currency</f>
        <v>US$'000</v>
      </c>
      <c r="I200" s="92">
        <f>'Opening Balance Sheet'!$I$21</f>
        <v>0</v>
      </c>
      <c r="J200" s="94">
        <f ca="1">SUM(J197:J199)</f>
        <v>112.5</v>
      </c>
      <c r="K200" s="72">
        <f ca="1">SUM(K197:K199)</f>
        <v>210</v>
      </c>
      <c r="L200" s="72">
        <f t="shared" ref="L200:N200" ca="1" si="79">SUM(L197:L199)</f>
        <v>217.5</v>
      </c>
      <c r="M200" s="72">
        <f t="shared" ca="1" si="79"/>
        <v>172.5</v>
      </c>
      <c r="N200" s="72">
        <f t="shared" ca="1" si="79"/>
        <v>150</v>
      </c>
      <c r="O200" s="93" t="s">
        <v>109</v>
      </c>
    </row>
    <row r="203" spans="3:15" ht="16.5" x14ac:dyDescent="0.35">
      <c r="C203" s="78" t="str">
        <f>Assumptions!C76</f>
        <v>Debt and related</v>
      </c>
      <c r="D203" s="119"/>
      <c r="E203" s="119"/>
      <c r="F203" s="119"/>
      <c r="G203" s="37"/>
      <c r="H203" s="119"/>
      <c r="I203" s="119"/>
      <c r="J203" s="119"/>
      <c r="K203" s="119"/>
      <c r="L203" s="119"/>
      <c r="M203" s="119"/>
      <c r="N203" s="119"/>
      <c r="O203" s="37"/>
    </row>
    <row r="204" spans="3:15" x14ac:dyDescent="0.25">
      <c r="C204" s="23" t="str">
        <f>Assumptions!C77</f>
        <v>Movements are assumed to occur at the end of each period</v>
      </c>
      <c r="D204" s="119"/>
      <c r="E204" s="119"/>
      <c r="F204" s="119"/>
      <c r="G204" s="37"/>
      <c r="H204" s="119"/>
      <c r="I204" s="119"/>
      <c r="J204" s="119"/>
      <c r="K204" s="119"/>
      <c r="L204" s="119"/>
      <c r="M204" s="119"/>
      <c r="N204" s="119"/>
      <c r="O204" s="37"/>
    </row>
    <row r="205" spans="3:15" x14ac:dyDescent="0.25">
      <c r="C205" s="23" t="str">
        <f>Assumptions!C78</f>
        <v>Interest is assumed to be paid in the following period</v>
      </c>
      <c r="D205" s="119"/>
      <c r="E205" s="119"/>
      <c r="F205" s="119"/>
      <c r="G205" s="37"/>
      <c r="H205" s="119"/>
      <c r="I205" s="119"/>
      <c r="J205" s="119"/>
      <c r="K205" s="119"/>
      <c r="L205" s="119"/>
      <c r="M205" s="119"/>
      <c r="N205" s="119"/>
      <c r="O205" s="37"/>
    </row>
    <row r="206" spans="3:15" x14ac:dyDescent="0.25">
      <c r="C206" s="119"/>
      <c r="D206" s="119"/>
      <c r="E206" s="119"/>
      <c r="F206" s="119"/>
      <c r="G206" s="37"/>
      <c r="H206" s="119"/>
      <c r="I206" s="119"/>
      <c r="J206" s="119"/>
      <c r="K206" s="119"/>
      <c r="L206" s="119"/>
      <c r="M206" s="119"/>
      <c r="N206" s="119"/>
      <c r="O206" s="37"/>
    </row>
    <row r="207" spans="3:15" ht="14" x14ac:dyDescent="0.3">
      <c r="C207" s="119"/>
      <c r="D207" s="5" t="str">
        <f>Assumptions!D80</f>
        <v>Debt</v>
      </c>
      <c r="E207" s="125"/>
      <c r="F207" s="125"/>
      <c r="G207" s="112"/>
      <c r="H207" s="125"/>
      <c r="I207" s="125"/>
      <c r="J207" s="125"/>
      <c r="K207" s="125"/>
      <c r="L207" s="125"/>
      <c r="M207" s="125"/>
      <c r="N207" s="125"/>
      <c r="O207" s="112"/>
    </row>
    <row r="208" spans="3:15" x14ac:dyDescent="0.25">
      <c r="C208" s="119"/>
      <c r="D208" s="124"/>
      <c r="E208" s="125"/>
      <c r="F208" s="125"/>
      <c r="G208" s="112"/>
      <c r="H208" s="125"/>
      <c r="I208" s="125"/>
      <c r="J208" s="125"/>
      <c r="K208" s="125"/>
      <c r="L208" s="125"/>
      <c r="M208" s="125"/>
      <c r="N208" s="125"/>
      <c r="O208" s="112"/>
    </row>
    <row r="209" spans="3:15" x14ac:dyDescent="0.25">
      <c r="C209" s="119"/>
      <c r="D209" s="124"/>
      <c r="E209" s="125" t="str">
        <f>Assumptions!E82</f>
        <v>Debt drawdowns</v>
      </c>
      <c r="F209" s="125"/>
      <c r="G209" s="112" t="str">
        <f>Currency</f>
        <v>US$'000</v>
      </c>
      <c r="H209" s="125"/>
      <c r="I209" s="130"/>
      <c r="J209" s="91">
        <f>Assumptions!J82</f>
        <v>20</v>
      </c>
      <c r="K209" s="91">
        <f>Assumptions!K82</f>
        <v>20</v>
      </c>
      <c r="L209" s="91">
        <f>Assumptions!L82</f>
        <v>0</v>
      </c>
      <c r="M209" s="91">
        <f>Assumptions!M82</f>
        <v>0</v>
      </c>
      <c r="N209" s="91">
        <f>Assumptions!N82</f>
        <v>0</v>
      </c>
      <c r="O209" s="112"/>
    </row>
    <row r="210" spans="3:15" x14ac:dyDescent="0.25">
      <c r="C210" s="119"/>
      <c r="D210" s="124"/>
      <c r="E210" s="125" t="str">
        <f>Assumptions!E83</f>
        <v>Debt repayments</v>
      </c>
      <c r="F210" s="125"/>
      <c r="G210" s="112" t="str">
        <f>Currency</f>
        <v>US$'000</v>
      </c>
      <c r="H210" s="125"/>
      <c r="I210" s="130"/>
      <c r="J210" s="91">
        <f>Assumptions!J83</f>
        <v>0</v>
      </c>
      <c r="K210" s="91">
        <f>Assumptions!K83</f>
        <v>0</v>
      </c>
      <c r="L210" s="91">
        <f>Assumptions!L83</f>
        <v>15</v>
      </c>
      <c r="M210" s="91">
        <f>Assumptions!M83</f>
        <v>25</v>
      </c>
      <c r="N210" s="91">
        <f>Assumptions!N83</f>
        <v>10</v>
      </c>
      <c r="O210" s="112"/>
    </row>
    <row r="211" spans="3:15" x14ac:dyDescent="0.25">
      <c r="C211" s="119"/>
      <c r="D211" s="124"/>
      <c r="E211" s="125"/>
      <c r="F211" s="125"/>
      <c r="G211" s="112"/>
      <c r="H211" s="125"/>
      <c r="I211" s="130"/>
      <c r="J211" s="130"/>
      <c r="K211" s="130"/>
      <c r="L211" s="130"/>
      <c r="M211" s="130"/>
      <c r="N211" s="130"/>
      <c r="O211" s="112"/>
    </row>
    <row r="212" spans="3:15" ht="14" x14ac:dyDescent="0.3">
      <c r="C212" s="119"/>
      <c r="D212" s="5" t="s">
        <v>229</v>
      </c>
      <c r="E212" s="125"/>
      <c r="F212" s="125"/>
      <c r="G212" s="112"/>
      <c r="H212" s="125"/>
      <c r="I212" s="130"/>
      <c r="J212" s="130"/>
      <c r="K212" s="130"/>
      <c r="L212" s="130"/>
      <c r="M212" s="130"/>
      <c r="N212" s="130"/>
      <c r="O212" s="112"/>
    </row>
    <row r="213" spans="3:15" ht="12" x14ac:dyDescent="0.3">
      <c r="C213" s="119"/>
      <c r="D213" s="124"/>
      <c r="E213" s="125"/>
      <c r="F213" s="125"/>
      <c r="G213" s="112"/>
      <c r="H213" s="125"/>
      <c r="I213" s="130"/>
      <c r="J213" s="130"/>
      <c r="K213" s="130"/>
      <c r="L213" s="130"/>
      <c r="M213" s="130"/>
      <c r="N213" s="130"/>
      <c r="O213" s="110"/>
    </row>
    <row r="214" spans="3:15" ht="12" x14ac:dyDescent="0.3">
      <c r="C214" s="119"/>
      <c r="D214" s="124"/>
      <c r="E214" s="125" t="s">
        <v>286</v>
      </c>
      <c r="F214" s="125"/>
      <c r="G214" s="112" t="str">
        <f>Currency</f>
        <v>US$'000</v>
      </c>
      <c r="H214" s="125"/>
      <c r="I214" s="130"/>
      <c r="J214" s="130">
        <f>I217</f>
        <v>0</v>
      </c>
      <c r="K214" s="130">
        <f t="shared" ref="K214:N214" si="80">J217</f>
        <v>20</v>
      </c>
      <c r="L214" s="130">
        <f t="shared" si="80"/>
        <v>40</v>
      </c>
      <c r="M214" s="130">
        <f t="shared" si="80"/>
        <v>25</v>
      </c>
      <c r="N214" s="130">
        <f t="shared" si="80"/>
        <v>0</v>
      </c>
      <c r="O214" s="110" t="s">
        <v>109</v>
      </c>
    </row>
    <row r="215" spans="3:15" ht="12" x14ac:dyDescent="0.3">
      <c r="C215" s="119"/>
      <c r="D215" s="124"/>
      <c r="E215" s="125" t="s">
        <v>194</v>
      </c>
      <c r="F215" s="125"/>
      <c r="G215" s="112" t="str">
        <f>Currency</f>
        <v>US$'000</v>
      </c>
      <c r="H215" s="125"/>
      <c r="I215" s="130"/>
      <c r="J215" s="130">
        <f>J209</f>
        <v>20</v>
      </c>
      <c r="K215" s="130">
        <f t="shared" ref="K215:N215" si="81">K209</f>
        <v>20</v>
      </c>
      <c r="L215" s="130">
        <f t="shared" si="81"/>
        <v>0</v>
      </c>
      <c r="M215" s="130">
        <f t="shared" si="81"/>
        <v>0</v>
      </c>
      <c r="N215" s="130">
        <f t="shared" si="81"/>
        <v>0</v>
      </c>
      <c r="O215" s="110" t="s">
        <v>110</v>
      </c>
    </row>
    <row r="216" spans="3:15" ht="12" x14ac:dyDescent="0.3">
      <c r="C216" s="119"/>
      <c r="D216" s="124"/>
      <c r="E216" s="125" t="s">
        <v>195</v>
      </c>
      <c r="F216" s="125"/>
      <c r="G216" s="112" t="str">
        <f>Currency</f>
        <v>US$'000</v>
      </c>
      <c r="H216" s="125"/>
      <c r="I216" s="130"/>
      <c r="J216" s="130">
        <f>-J210</f>
        <v>0</v>
      </c>
      <c r="K216" s="130">
        <f t="shared" ref="K216:N216" si="82">-K210</f>
        <v>0</v>
      </c>
      <c r="L216" s="130">
        <f t="shared" si="82"/>
        <v>-15</v>
      </c>
      <c r="M216" s="130">
        <f t="shared" si="82"/>
        <v>-25</v>
      </c>
      <c r="N216" s="130">
        <f t="shared" si="82"/>
        <v>-10</v>
      </c>
      <c r="O216" s="110" t="s">
        <v>110</v>
      </c>
    </row>
    <row r="217" spans="3:15" ht="12" x14ac:dyDescent="0.3">
      <c r="C217" s="119"/>
      <c r="D217" s="124"/>
      <c r="E217" s="125" t="s">
        <v>287</v>
      </c>
      <c r="F217" s="125"/>
      <c r="G217" s="112" t="str">
        <f>Currency</f>
        <v>US$'000</v>
      </c>
      <c r="H217" s="125"/>
      <c r="I217" s="91">
        <f>'Opening Balance Sheet'!$I$36</f>
        <v>0</v>
      </c>
      <c r="J217" s="131">
        <f t="shared" ref="J217" si="83">SUM(J214:J216)</f>
        <v>20</v>
      </c>
      <c r="K217" s="132">
        <f>SUM(K214:K216)</f>
        <v>40</v>
      </c>
      <c r="L217" s="132">
        <f t="shared" ref="L217:N217" si="84">SUM(L214:L216)</f>
        <v>25</v>
      </c>
      <c r="M217" s="132">
        <f t="shared" si="84"/>
        <v>0</v>
      </c>
      <c r="N217" s="132">
        <f t="shared" si="84"/>
        <v>-10</v>
      </c>
      <c r="O217" s="110" t="s">
        <v>109</v>
      </c>
    </row>
    <row r="218" spans="3:15" x14ac:dyDescent="0.25">
      <c r="C218" s="119"/>
      <c r="D218" s="124"/>
      <c r="E218" s="125"/>
      <c r="F218" s="125"/>
      <c r="G218" s="112"/>
      <c r="H218" s="125"/>
      <c r="I218" s="125"/>
      <c r="J218" s="125"/>
      <c r="K218" s="125"/>
      <c r="L218" s="125"/>
      <c r="M218" s="125"/>
      <c r="N218" s="125"/>
      <c r="O218" s="112"/>
    </row>
    <row r="219" spans="3:15" ht="14" x14ac:dyDescent="0.3">
      <c r="C219" s="119"/>
      <c r="D219" s="5" t="str">
        <f>Assumptions!D85</f>
        <v>Interest</v>
      </c>
      <c r="E219" s="125"/>
      <c r="F219" s="125"/>
      <c r="G219" s="112"/>
      <c r="H219" s="125"/>
      <c r="I219" s="125"/>
      <c r="J219" s="125"/>
      <c r="K219" s="125"/>
      <c r="L219" s="125"/>
      <c r="M219" s="125"/>
      <c r="N219" s="125"/>
      <c r="O219" s="112"/>
    </row>
    <row r="220" spans="3:15" x14ac:dyDescent="0.25">
      <c r="C220" s="119"/>
      <c r="D220" s="124"/>
      <c r="E220" s="125"/>
      <c r="F220" s="125"/>
      <c r="G220" s="112"/>
      <c r="H220" s="125"/>
      <c r="I220" s="125"/>
      <c r="J220" s="125"/>
      <c r="K220" s="125"/>
      <c r="L220" s="125"/>
      <c r="M220" s="125"/>
      <c r="N220" s="125"/>
      <c r="O220" s="112"/>
    </row>
    <row r="221" spans="3:15" x14ac:dyDescent="0.25">
      <c r="C221" s="119"/>
      <c r="D221" s="124"/>
      <c r="E221" s="125" t="str">
        <f>Assumptions!E87</f>
        <v>Interest rate</v>
      </c>
      <c r="F221" s="125"/>
      <c r="G221" s="112" t="str">
        <f>Percentage</f>
        <v>%</v>
      </c>
      <c r="H221" s="125"/>
      <c r="I221" s="125"/>
      <c r="J221" s="96">
        <f>Assumptions!J87</f>
        <v>0.06</v>
      </c>
      <c r="K221" s="96">
        <f>Assumptions!K87</f>
        <v>7.0000000000000007E-2</v>
      </c>
      <c r="L221" s="96">
        <f>Assumptions!L87</f>
        <v>7.0000000000000007E-2</v>
      </c>
      <c r="M221" s="96">
        <f>Assumptions!M87</f>
        <v>0.08</v>
      </c>
      <c r="N221" s="96">
        <f>Assumptions!N87</f>
        <v>0.08</v>
      </c>
      <c r="O221" s="112"/>
    </row>
    <row r="222" spans="3:15" x14ac:dyDescent="0.25">
      <c r="C222" s="119"/>
      <c r="D222" s="124"/>
      <c r="E222" s="125"/>
      <c r="F222" s="125"/>
      <c r="G222" s="112"/>
      <c r="H222" s="125"/>
      <c r="I222" s="125"/>
      <c r="J222" s="125"/>
      <c r="K222" s="125"/>
      <c r="L222" s="125"/>
      <c r="M222" s="125"/>
      <c r="N222" s="125"/>
      <c r="O222" s="112"/>
    </row>
    <row r="223" spans="3:15" ht="12" x14ac:dyDescent="0.3">
      <c r="C223" s="119"/>
      <c r="D223" s="124"/>
      <c r="E223" s="125" t="s">
        <v>286</v>
      </c>
      <c r="F223" s="125"/>
      <c r="G223" s="112" t="str">
        <f>Currency</f>
        <v>US$'000</v>
      </c>
      <c r="H223" s="133" t="str">
        <f>"Row "&amp;ROW(J214)</f>
        <v>Row 214</v>
      </c>
      <c r="I223" s="125"/>
      <c r="J223" s="126">
        <f>J214</f>
        <v>0</v>
      </c>
      <c r="K223" s="126">
        <f t="shared" ref="K223:N223" si="85">K214</f>
        <v>20</v>
      </c>
      <c r="L223" s="126">
        <f t="shared" si="85"/>
        <v>40</v>
      </c>
      <c r="M223" s="126">
        <f t="shared" si="85"/>
        <v>25</v>
      </c>
      <c r="N223" s="126">
        <f t="shared" si="85"/>
        <v>0</v>
      </c>
      <c r="O223" s="112"/>
    </row>
    <row r="224" spans="3:15" x14ac:dyDescent="0.25">
      <c r="C224" s="119"/>
      <c r="D224" s="124"/>
      <c r="E224" s="125"/>
      <c r="F224" s="125"/>
      <c r="G224" s="112"/>
      <c r="H224" s="125"/>
      <c r="I224" s="125"/>
      <c r="J224" s="125"/>
      <c r="K224" s="125"/>
      <c r="L224" s="125"/>
      <c r="M224" s="125"/>
      <c r="N224" s="125"/>
      <c r="O224" s="112"/>
    </row>
    <row r="225" spans="3:15" x14ac:dyDescent="0.25">
      <c r="C225" s="119"/>
      <c r="D225" s="124"/>
      <c r="E225" s="125" t="s">
        <v>288</v>
      </c>
      <c r="F225" s="125"/>
      <c r="G225" s="112" t="str">
        <f>Unit</f>
        <v>#</v>
      </c>
      <c r="H225" s="125"/>
      <c r="I225" s="125"/>
      <c r="J225" s="126">
        <f>J$8</f>
        <v>366</v>
      </c>
      <c r="K225" s="126">
        <f t="shared" ref="K225:N225" si="86">K$8</f>
        <v>365</v>
      </c>
      <c r="L225" s="126">
        <f t="shared" si="86"/>
        <v>365</v>
      </c>
      <c r="M225" s="126">
        <f t="shared" si="86"/>
        <v>365</v>
      </c>
      <c r="N225" s="126">
        <f t="shared" si="86"/>
        <v>366</v>
      </c>
      <c r="O225" s="112"/>
    </row>
    <row r="226" spans="3:15" x14ac:dyDescent="0.25">
      <c r="C226" s="119"/>
      <c r="D226" s="124"/>
      <c r="E226" s="125" t="s">
        <v>289</v>
      </c>
      <c r="F226" s="125"/>
      <c r="G226" s="112" t="str">
        <f>Unit</f>
        <v>#</v>
      </c>
      <c r="H226" s="125"/>
      <c r="I226" s="125"/>
      <c r="J226" s="126">
        <f>Days_in_Year</f>
        <v>365</v>
      </c>
      <c r="K226" s="126">
        <f>Days_in_Year</f>
        <v>365</v>
      </c>
      <c r="L226" s="126">
        <f>Days_in_Year</f>
        <v>365</v>
      </c>
      <c r="M226" s="126">
        <f>Days_in_Year</f>
        <v>365</v>
      </c>
      <c r="N226" s="126">
        <f>Days_in_Year</f>
        <v>365</v>
      </c>
      <c r="O226" s="112"/>
    </row>
    <row r="227" spans="3:15" x14ac:dyDescent="0.25">
      <c r="C227" s="119"/>
      <c r="D227" s="124"/>
      <c r="E227" s="125" t="s">
        <v>290</v>
      </c>
      <c r="F227" s="125"/>
      <c r="G227" s="112" t="str">
        <f>Percentage</f>
        <v>%</v>
      </c>
      <c r="H227" s="125"/>
      <c r="I227" s="125"/>
      <c r="J227" s="127">
        <f>MIN(J225/J226,1)</f>
        <v>1</v>
      </c>
      <c r="K227" s="127">
        <f t="shared" ref="K227:N227" si="87">MIN(K225/K226,1)</f>
        <v>1</v>
      </c>
      <c r="L227" s="127">
        <f t="shared" si="87"/>
        <v>1</v>
      </c>
      <c r="M227" s="127">
        <f t="shared" si="87"/>
        <v>1</v>
      </c>
      <c r="N227" s="127">
        <f t="shared" si="87"/>
        <v>1</v>
      </c>
      <c r="O227" s="112"/>
    </row>
    <row r="228" spans="3:15" x14ac:dyDescent="0.25">
      <c r="C228" s="119"/>
      <c r="D228" s="124"/>
      <c r="E228" s="125"/>
      <c r="F228" s="125"/>
      <c r="G228" s="112"/>
      <c r="H228" s="125"/>
      <c r="I228" s="125"/>
      <c r="J228" s="125"/>
      <c r="K228" s="125"/>
      <c r="L228" s="125"/>
      <c r="M228" s="125"/>
      <c r="N228" s="125"/>
      <c r="O228" s="112"/>
    </row>
    <row r="229" spans="3:15" x14ac:dyDescent="0.25">
      <c r="C229" s="119"/>
      <c r="D229" s="124"/>
      <c r="E229" s="125" t="s">
        <v>281</v>
      </c>
      <c r="F229" s="125"/>
      <c r="G229" s="112" t="str">
        <f>Currency</f>
        <v>US$'000</v>
      </c>
      <c r="H229" s="125"/>
      <c r="I229" s="125"/>
      <c r="J229" s="128">
        <f>J223*J221*J227</f>
        <v>0</v>
      </c>
      <c r="K229" s="128">
        <f t="shared" ref="K229:N229" si="88">K223*K221*K227</f>
        <v>1.4000000000000001</v>
      </c>
      <c r="L229" s="128">
        <f t="shared" si="88"/>
        <v>2.8000000000000003</v>
      </c>
      <c r="M229" s="128">
        <f t="shared" si="88"/>
        <v>2</v>
      </c>
      <c r="N229" s="128">
        <f t="shared" si="88"/>
        <v>0</v>
      </c>
      <c r="O229" s="112"/>
    </row>
    <row r="230" spans="3:15" x14ac:dyDescent="0.25">
      <c r="C230" s="119"/>
      <c r="D230" s="124"/>
      <c r="E230" s="125"/>
      <c r="F230" s="125"/>
      <c r="G230" s="112"/>
      <c r="H230" s="125"/>
      <c r="I230" s="125"/>
      <c r="J230" s="125"/>
      <c r="K230" s="125"/>
      <c r="L230" s="125"/>
      <c r="M230" s="125"/>
      <c r="N230" s="125"/>
      <c r="O230" s="112"/>
    </row>
    <row r="231" spans="3:15" ht="14" x14ac:dyDescent="0.3">
      <c r="C231" s="119"/>
      <c r="D231" s="5" t="s">
        <v>229</v>
      </c>
      <c r="E231" s="125"/>
      <c r="F231" s="125"/>
      <c r="G231" s="112"/>
      <c r="H231" s="125"/>
      <c r="I231" s="125"/>
      <c r="J231" s="125"/>
      <c r="K231" s="125"/>
      <c r="L231" s="125"/>
      <c r="M231" s="125"/>
      <c r="N231" s="125"/>
      <c r="O231" s="112"/>
    </row>
    <row r="232" spans="3:15" x14ac:dyDescent="0.25">
      <c r="C232" s="119"/>
      <c r="D232" s="125"/>
      <c r="E232" s="125"/>
      <c r="F232" s="125"/>
      <c r="G232" s="112"/>
      <c r="H232" s="125"/>
      <c r="I232" s="125"/>
      <c r="J232" s="125"/>
      <c r="K232" s="125"/>
      <c r="L232" s="125"/>
      <c r="M232" s="125"/>
      <c r="N232" s="125"/>
      <c r="O232" s="112"/>
    </row>
    <row r="233" spans="3:15" ht="12" x14ac:dyDescent="0.3">
      <c r="C233" s="119"/>
      <c r="D233" s="125"/>
      <c r="E233" s="125" t="s">
        <v>291</v>
      </c>
      <c r="F233" s="125"/>
      <c r="G233" s="112" t="str">
        <f>Currency</f>
        <v>US$'000</v>
      </c>
      <c r="H233" s="125"/>
      <c r="I233" s="125"/>
      <c r="J233" s="128">
        <f>I236</f>
        <v>0</v>
      </c>
      <c r="K233" s="128">
        <f t="shared" ref="K233:N233" si="89">J236</f>
        <v>0</v>
      </c>
      <c r="L233" s="128">
        <f t="shared" si="89"/>
        <v>1.4000000000000001</v>
      </c>
      <c r="M233" s="128">
        <f t="shared" si="89"/>
        <v>2.8</v>
      </c>
      <c r="N233" s="128">
        <f t="shared" si="89"/>
        <v>2</v>
      </c>
      <c r="O233" s="110" t="s">
        <v>109</v>
      </c>
    </row>
    <row r="234" spans="3:15" ht="12" x14ac:dyDescent="0.3">
      <c r="C234" s="119"/>
      <c r="D234" s="125"/>
      <c r="E234" s="125" t="s">
        <v>292</v>
      </c>
      <c r="F234" s="125"/>
      <c r="G234" s="112" t="str">
        <f>Currency</f>
        <v>US$'000</v>
      </c>
      <c r="H234" s="125"/>
      <c r="I234" s="125"/>
      <c r="J234" s="128">
        <f>J229</f>
        <v>0</v>
      </c>
      <c r="K234" s="128">
        <f t="shared" ref="K234:N234" si="90">K229</f>
        <v>1.4000000000000001</v>
      </c>
      <c r="L234" s="128">
        <f t="shared" si="90"/>
        <v>2.8000000000000003</v>
      </c>
      <c r="M234" s="128">
        <f t="shared" si="90"/>
        <v>2</v>
      </c>
      <c r="N234" s="128">
        <f t="shared" si="90"/>
        <v>0</v>
      </c>
      <c r="O234" s="110" t="s">
        <v>108</v>
      </c>
    </row>
    <row r="235" spans="3:15" ht="12" x14ac:dyDescent="0.3">
      <c r="C235" s="119"/>
      <c r="D235" s="125"/>
      <c r="E235" s="125" t="s">
        <v>186</v>
      </c>
      <c r="F235" s="125"/>
      <c r="G235" s="112" t="str">
        <f>Currency</f>
        <v>US$'000</v>
      </c>
      <c r="H235" s="125"/>
      <c r="I235" s="125"/>
      <c r="J235" s="128">
        <f>-J233</f>
        <v>0</v>
      </c>
      <c r="K235" s="128">
        <f t="shared" ref="K235:N235" si="91">-K233</f>
        <v>0</v>
      </c>
      <c r="L235" s="128">
        <f t="shared" si="91"/>
        <v>-1.4000000000000001</v>
      </c>
      <c r="M235" s="128">
        <f t="shared" si="91"/>
        <v>-2.8</v>
      </c>
      <c r="N235" s="128">
        <f t="shared" si="91"/>
        <v>-2</v>
      </c>
      <c r="O235" s="110" t="s">
        <v>110</v>
      </c>
    </row>
    <row r="236" spans="3:15" ht="12" x14ac:dyDescent="0.3">
      <c r="C236" s="119"/>
      <c r="D236" s="125"/>
      <c r="E236" s="125" t="s">
        <v>293</v>
      </c>
      <c r="F236" s="125"/>
      <c r="G236" s="112" t="str">
        <f>Currency</f>
        <v>US$'000</v>
      </c>
      <c r="H236" s="125"/>
      <c r="I236" s="91">
        <f>'Opening Balance Sheet'!$I$29</f>
        <v>0</v>
      </c>
      <c r="J236" s="129">
        <f t="shared" ref="J236" si="92">SUM(J233:J235)</f>
        <v>0</v>
      </c>
      <c r="K236" s="129">
        <f>SUM(K233:K235)</f>
        <v>1.4000000000000001</v>
      </c>
      <c r="L236" s="129">
        <f t="shared" ref="L236:N236" si="93">SUM(L233:L235)</f>
        <v>2.8</v>
      </c>
      <c r="M236" s="129">
        <f t="shared" si="93"/>
        <v>2</v>
      </c>
      <c r="N236" s="129">
        <f t="shared" si="93"/>
        <v>0</v>
      </c>
      <c r="O236" s="110" t="s">
        <v>109</v>
      </c>
    </row>
    <row r="237" spans="3:15" x14ac:dyDescent="0.25">
      <c r="C237" s="119"/>
      <c r="D237" s="125"/>
      <c r="E237" s="125"/>
      <c r="F237" s="125"/>
      <c r="G237" s="112"/>
      <c r="H237" s="125"/>
      <c r="I237" s="125"/>
      <c r="J237" s="125"/>
      <c r="K237" s="125"/>
      <c r="L237" s="125"/>
      <c r="M237" s="125"/>
      <c r="N237" s="125"/>
      <c r="O237" s="112"/>
    </row>
    <row r="238" spans="3:15" x14ac:dyDescent="0.25">
      <c r="C238" s="119"/>
      <c r="D238" s="125"/>
      <c r="E238" s="125"/>
      <c r="F238" s="125"/>
      <c r="G238" s="112"/>
      <c r="H238" s="125"/>
      <c r="I238" s="125"/>
      <c r="J238" s="125"/>
      <c r="K238" s="125"/>
      <c r="L238" s="125"/>
      <c r="M238" s="125"/>
      <c r="N238" s="125"/>
      <c r="O238" s="112"/>
    </row>
    <row r="239" spans="3:15" ht="16.5" x14ac:dyDescent="0.35">
      <c r="C239" s="78" t="s">
        <v>283</v>
      </c>
      <c r="D239" s="125"/>
      <c r="E239" s="125"/>
      <c r="F239" s="125"/>
      <c r="G239" s="112"/>
      <c r="H239" s="125"/>
      <c r="I239" s="125"/>
      <c r="J239" s="125"/>
      <c r="K239" s="125"/>
      <c r="L239" s="125"/>
      <c r="M239" s="125"/>
      <c r="N239" s="125"/>
      <c r="O239" s="112"/>
    </row>
    <row r="240" spans="3:15" x14ac:dyDescent="0.25">
      <c r="C240" s="119"/>
      <c r="D240" s="125"/>
      <c r="E240" s="125"/>
      <c r="F240" s="125"/>
      <c r="G240" s="112"/>
      <c r="H240" s="125"/>
      <c r="I240" s="125"/>
      <c r="J240" s="125"/>
      <c r="K240" s="125"/>
      <c r="L240" s="125"/>
      <c r="M240" s="125"/>
      <c r="N240" s="125"/>
      <c r="O240" s="112"/>
    </row>
    <row r="241" spans="3:15" x14ac:dyDescent="0.25">
      <c r="C241" s="119"/>
      <c r="D241" s="125"/>
      <c r="E241" s="125" t="s">
        <v>284</v>
      </c>
      <c r="F241" s="125"/>
      <c r="G241" s="112" t="str">
        <f>Percentage</f>
        <v>%</v>
      </c>
      <c r="H241" s="125"/>
      <c r="I241" s="125"/>
      <c r="J241" s="96">
        <f>Assumptions!J91</f>
        <v>0.01</v>
      </c>
      <c r="K241" s="96">
        <f>Assumptions!K91</f>
        <v>0.01</v>
      </c>
      <c r="L241" s="96">
        <f>Assumptions!L91</f>
        <v>0.01</v>
      </c>
      <c r="M241" s="96">
        <f>Assumptions!M91</f>
        <v>0.01</v>
      </c>
      <c r="N241" s="96">
        <f>Assumptions!N91</f>
        <v>0.01</v>
      </c>
      <c r="O241" s="112"/>
    </row>
    <row r="242" spans="3:15" x14ac:dyDescent="0.25">
      <c r="C242" s="119"/>
      <c r="D242" s="125"/>
      <c r="E242" s="125"/>
      <c r="F242" s="125"/>
      <c r="G242" s="112"/>
      <c r="H242" s="125"/>
      <c r="I242" s="125"/>
      <c r="J242" s="125"/>
      <c r="K242" s="125"/>
      <c r="L242" s="125"/>
      <c r="M242" s="125"/>
      <c r="N242" s="125"/>
      <c r="O242" s="112"/>
    </row>
    <row r="243" spans="3:15" x14ac:dyDescent="0.25">
      <c r="C243" s="119"/>
      <c r="D243" s="125"/>
      <c r="E243" s="125" t="s">
        <v>285</v>
      </c>
      <c r="F243" s="125"/>
      <c r="G243" s="112" t="str">
        <f>Percentage</f>
        <v>%</v>
      </c>
      <c r="H243" s="125"/>
      <c r="I243" s="96">
        <f>Assumptions!I93</f>
        <v>0.5</v>
      </c>
      <c r="J243" s="125"/>
      <c r="K243" s="125"/>
      <c r="L243" s="125"/>
      <c r="M243" s="125"/>
      <c r="N243" s="125"/>
      <c r="O243" s="112"/>
    </row>
    <row r="244" spans="3:15" x14ac:dyDescent="0.25">
      <c r="C244" s="119"/>
      <c r="D244" s="125"/>
      <c r="E244" s="125"/>
      <c r="F244" s="125"/>
      <c r="G244" s="112"/>
      <c r="H244" s="125"/>
      <c r="I244" s="125"/>
      <c r="J244" s="125"/>
      <c r="K244" s="125"/>
      <c r="L244" s="125"/>
      <c r="M244" s="125"/>
      <c r="N244" s="125"/>
      <c r="O244" s="112"/>
    </row>
    <row r="245" spans="3:15" x14ac:dyDescent="0.25">
      <c r="C245" s="119"/>
      <c r="D245" s="125"/>
      <c r="E245" s="125" t="s">
        <v>294</v>
      </c>
      <c r="F245" s="125"/>
      <c r="G245" s="112" t="str">
        <f>Currency</f>
        <v>US$'000</v>
      </c>
      <c r="H245" s="125"/>
      <c r="I245" s="125"/>
      <c r="J245" s="91">
        <f>IF(J$9=1,'Opening Balance Sheet'!$I$14,'Balance Sheet'!I$14)</f>
        <v>0</v>
      </c>
      <c r="K245" s="91">
        <f>IF(K$9=1,'Opening Balance Sheet'!$I$14,'Balance Sheet'!J$14)</f>
        <v>-740.42622950819668</v>
      </c>
      <c r="L245" s="91">
        <f>IF(L$9=1,'Opening Balance Sheet'!$I$14,'Balance Sheet'!K$14)</f>
        <v>-2458.6519637448791</v>
      </c>
      <c r="M245" s="91">
        <f>IF(M$9=1,'Opening Balance Sheet'!$I$14,'Balance Sheet'!L$14)</f>
        <v>-598.44910608418468</v>
      </c>
      <c r="N245" s="91">
        <f>IF(N$9=1,'Opening Balance Sheet'!$I$14,'Balance Sheet'!M$14)</f>
        <v>1568.4843377702136</v>
      </c>
      <c r="O245" s="112"/>
    </row>
    <row r="246" spans="3:15" x14ac:dyDescent="0.25">
      <c r="C246" s="119"/>
      <c r="D246" s="125"/>
      <c r="E246" s="125" t="s">
        <v>295</v>
      </c>
      <c r="F246" s="125"/>
      <c r="G246" s="112" t="str">
        <f>Currency</f>
        <v>US$'000</v>
      </c>
      <c r="H246" s="125"/>
      <c r="I246" s="125"/>
      <c r="J246" s="91">
        <f>'Cash Flow Statement'!J22+'Cash Flow Statement'!J26+'Cash Flow Statement'!J35</f>
        <v>-740.42622950819668</v>
      </c>
      <c r="K246" s="91">
        <f>'Cash Flow Statement'!K22+'Cash Flow Statement'!K26+'Cash Flow Statement'!K35</f>
        <v>-1715.6251403548172</v>
      </c>
      <c r="L246" s="91">
        <f>'Cash Flow Statement'!L22+'Cash Flow Statement'!L26+'Cash Flow Statement'!L35</f>
        <v>1873.6589041095895</v>
      </c>
      <c r="M246" s="91">
        <f>'Cash Flow Statement'!M22+'Cash Flow Statement'!M26+'Cash Flow Statement'!M35</f>
        <v>2185.0254794520552</v>
      </c>
      <c r="N246" s="91">
        <f>'Cash Flow Statement'!N22+'Cash Flow Statement'!N26+'Cash Flow Statement'!N35</f>
        <v>1099.4407961374336</v>
      </c>
      <c r="O246" s="112"/>
    </row>
    <row r="247" spans="3:15" x14ac:dyDescent="0.25">
      <c r="C247" s="119"/>
      <c r="D247" s="125"/>
      <c r="E247" s="125" t="s">
        <v>296</v>
      </c>
      <c r="F247" s="125"/>
      <c r="G247" s="112" t="str">
        <f>Percentage</f>
        <v>%</v>
      </c>
      <c r="H247" s="125"/>
      <c r="I247" s="125"/>
      <c r="J247" s="96">
        <f>Assumptions!$I$100</f>
        <v>0.3</v>
      </c>
      <c r="K247" s="96">
        <f>Assumptions!$I$100</f>
        <v>0.3</v>
      </c>
      <c r="L247" s="96">
        <f>Assumptions!$I$100</f>
        <v>0.3</v>
      </c>
      <c r="M247" s="96">
        <f>Assumptions!$I$100</f>
        <v>0.3</v>
      </c>
      <c r="N247" s="96">
        <f>Assumptions!$I$100</f>
        <v>0.3</v>
      </c>
      <c r="O247" s="112"/>
    </row>
    <row r="248" spans="3:15" x14ac:dyDescent="0.25">
      <c r="C248" s="119"/>
      <c r="D248" s="125"/>
      <c r="E248" s="125"/>
      <c r="F248" s="125"/>
      <c r="G248" s="112"/>
      <c r="H248" s="125"/>
      <c r="I248" s="125"/>
      <c r="J248" s="125"/>
      <c r="K248" s="125"/>
      <c r="L248" s="125"/>
      <c r="M248" s="125"/>
      <c r="N248" s="125"/>
      <c r="O248" s="112"/>
    </row>
    <row r="249" spans="3:15" x14ac:dyDescent="0.25">
      <c r="C249" s="119"/>
      <c r="D249" s="125"/>
      <c r="E249" s="125" t="s">
        <v>283</v>
      </c>
      <c r="F249" s="125"/>
      <c r="G249" s="112" t="str">
        <f>Currency</f>
        <v>US$'000</v>
      </c>
      <c r="H249" s="125"/>
      <c r="I249" s="125"/>
      <c r="J249" s="128">
        <f>(J245+(1-$I$243)*J246*(1-J247))*J241/(1-(1-$I$243)*(1-J$247)*J241)</f>
        <v>-2.6005938818652163</v>
      </c>
      <c r="K249" s="128">
        <f t="shared" ref="K249:N249" si="94">(K245+(1-$I$243)*K246*(1-K247))*K241/(1-(1-$I$243)*(1-K$247)*K241)</f>
        <v>-13.456046448894957</v>
      </c>
      <c r="L249" s="128">
        <f t="shared" si="94"/>
        <v>-18.092035597657031</v>
      </c>
      <c r="M249" s="128">
        <f t="shared" si="94"/>
        <v>1.6689394051584003</v>
      </c>
      <c r="N249" s="128">
        <f t="shared" si="94"/>
        <v>19.601491384027248</v>
      </c>
      <c r="O249" s="112"/>
    </row>
    <row r="250" spans="3:15" x14ac:dyDescent="0.25">
      <c r="C250" s="119"/>
      <c r="D250" s="125"/>
      <c r="E250" s="125"/>
      <c r="F250" s="125"/>
      <c r="G250" s="112"/>
      <c r="H250" s="125"/>
      <c r="I250" s="125"/>
      <c r="J250" s="125"/>
      <c r="K250" s="125"/>
      <c r="L250" s="125"/>
      <c r="M250" s="125"/>
      <c r="N250" s="125"/>
      <c r="O250" s="112"/>
    </row>
    <row r="251" spans="3:15" ht="14" x14ac:dyDescent="0.3">
      <c r="C251" s="119"/>
      <c r="D251" s="5" t="s">
        <v>229</v>
      </c>
      <c r="E251" s="125"/>
      <c r="F251" s="125"/>
      <c r="G251" s="112"/>
      <c r="H251" s="125"/>
      <c r="I251" s="125"/>
      <c r="J251" s="125"/>
      <c r="K251" s="125"/>
      <c r="L251" s="125"/>
      <c r="M251" s="125"/>
      <c r="N251" s="125"/>
      <c r="O251" s="112"/>
    </row>
    <row r="252" spans="3:15" x14ac:dyDescent="0.25">
      <c r="C252" s="119"/>
      <c r="D252" s="125"/>
      <c r="E252" s="125"/>
      <c r="F252" s="125"/>
      <c r="G252" s="112"/>
      <c r="H252" s="125"/>
      <c r="I252" s="125"/>
      <c r="J252" s="125"/>
      <c r="K252" s="125"/>
      <c r="L252" s="125"/>
      <c r="M252" s="125"/>
      <c r="N252" s="125"/>
      <c r="O252" s="112"/>
    </row>
    <row r="253" spans="3:15" ht="12" x14ac:dyDescent="0.3">
      <c r="C253" s="119"/>
      <c r="D253" s="125"/>
      <c r="E253" s="125" t="s">
        <v>297</v>
      </c>
      <c r="F253" s="125"/>
      <c r="G253" s="112" t="str">
        <f>Currency</f>
        <v>US$'000</v>
      </c>
      <c r="H253" s="125"/>
      <c r="I253" s="125"/>
      <c r="J253" s="128">
        <f>I256</f>
        <v>0</v>
      </c>
      <c r="K253" s="128">
        <f t="shared" ref="K253:N253" si="95">J256</f>
        <v>-2.6005938818652163</v>
      </c>
      <c r="L253" s="128">
        <f t="shared" si="95"/>
        <v>-13.456046448894959</v>
      </c>
      <c r="M253" s="128">
        <f t="shared" si="95"/>
        <v>-18.092035597657031</v>
      </c>
      <c r="N253" s="128">
        <f t="shared" si="95"/>
        <v>1.668939405158401</v>
      </c>
      <c r="O253" s="110" t="s">
        <v>109</v>
      </c>
    </row>
    <row r="254" spans="3:15" ht="12" x14ac:dyDescent="0.3">
      <c r="C254" s="119"/>
      <c r="D254" s="125"/>
      <c r="E254" s="125" t="s">
        <v>298</v>
      </c>
      <c r="F254" s="125"/>
      <c r="G254" s="112" t="str">
        <f>Currency</f>
        <v>US$'000</v>
      </c>
      <c r="H254" s="125"/>
      <c r="I254" s="125"/>
      <c r="J254" s="128">
        <f>J249</f>
        <v>-2.6005938818652163</v>
      </c>
      <c r="K254" s="128">
        <f t="shared" ref="K254:N254" si="96">K249</f>
        <v>-13.456046448894957</v>
      </c>
      <c r="L254" s="128">
        <f t="shared" si="96"/>
        <v>-18.092035597657031</v>
      </c>
      <c r="M254" s="128">
        <f t="shared" si="96"/>
        <v>1.6689394051584003</v>
      </c>
      <c r="N254" s="128">
        <f t="shared" si="96"/>
        <v>19.601491384027248</v>
      </c>
      <c r="O254" s="110" t="s">
        <v>108</v>
      </c>
    </row>
    <row r="255" spans="3:15" ht="12" x14ac:dyDescent="0.3">
      <c r="C255" s="119"/>
      <c r="D255" s="125"/>
      <c r="E255" s="125" t="s">
        <v>299</v>
      </c>
      <c r="F255" s="125"/>
      <c r="G255" s="112" t="str">
        <f>Currency</f>
        <v>US$'000</v>
      </c>
      <c r="H255" s="125"/>
      <c r="I255" s="125"/>
      <c r="J255" s="128">
        <f>-J253</f>
        <v>0</v>
      </c>
      <c r="K255" s="128">
        <f t="shared" ref="K255:N255" si="97">-K253</f>
        <v>2.6005938818652163</v>
      </c>
      <c r="L255" s="128">
        <f t="shared" si="97"/>
        <v>13.456046448894959</v>
      </c>
      <c r="M255" s="128">
        <f t="shared" si="97"/>
        <v>18.092035597657031</v>
      </c>
      <c r="N255" s="128">
        <f t="shared" si="97"/>
        <v>-1.668939405158401</v>
      </c>
      <c r="O255" s="110" t="s">
        <v>110</v>
      </c>
    </row>
    <row r="256" spans="3:15" ht="12" x14ac:dyDescent="0.3">
      <c r="C256" s="119"/>
      <c r="D256" s="125"/>
      <c r="E256" s="125" t="s">
        <v>300</v>
      </c>
      <c r="F256" s="125"/>
      <c r="G256" s="112" t="str">
        <f>Currency</f>
        <v>US$'000</v>
      </c>
      <c r="H256" s="125"/>
      <c r="I256" s="28"/>
      <c r="J256" s="129">
        <f t="shared" ref="J256" si="98">SUM(J253:J255)</f>
        <v>-2.6005938818652163</v>
      </c>
      <c r="K256" s="129">
        <f>SUM(K253:K255)</f>
        <v>-13.456046448894959</v>
      </c>
      <c r="L256" s="129">
        <f t="shared" ref="L256:N256" si="99">SUM(L253:L255)</f>
        <v>-18.092035597657031</v>
      </c>
      <c r="M256" s="129">
        <f t="shared" si="99"/>
        <v>1.668939405158401</v>
      </c>
      <c r="N256" s="129">
        <f t="shared" si="99"/>
        <v>19.601491384027248</v>
      </c>
      <c r="O256" s="110" t="s">
        <v>109</v>
      </c>
    </row>
    <row r="257" spans="3:15" x14ac:dyDescent="0.25"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9" spans="3:15" ht="16.5" x14ac:dyDescent="0.35">
      <c r="C259" s="78" t="s">
        <v>301</v>
      </c>
      <c r="D259" s="125"/>
      <c r="E259" s="125"/>
      <c r="F259" s="125"/>
      <c r="G259" s="112"/>
      <c r="H259" s="125"/>
      <c r="I259" s="125"/>
      <c r="J259" s="125"/>
      <c r="K259" s="125"/>
      <c r="L259" s="125"/>
      <c r="M259" s="125"/>
      <c r="N259" s="125"/>
      <c r="O259" s="112"/>
    </row>
    <row r="260" spans="3:15" x14ac:dyDescent="0.25">
      <c r="C260" s="125"/>
      <c r="D260" s="125"/>
      <c r="E260" s="125"/>
      <c r="F260" s="125"/>
      <c r="G260" s="112"/>
      <c r="H260" s="125"/>
      <c r="I260" s="125"/>
      <c r="J260" s="125"/>
      <c r="K260" s="125"/>
      <c r="L260" s="125"/>
      <c r="M260" s="125"/>
      <c r="N260" s="125"/>
      <c r="O260" s="112"/>
    </row>
    <row r="261" spans="3:15" ht="14" x14ac:dyDescent="0.3">
      <c r="C261" s="125"/>
      <c r="D261" s="5" t="s">
        <v>302</v>
      </c>
      <c r="E261" s="125"/>
      <c r="F261" s="125"/>
      <c r="G261" s="112"/>
      <c r="H261" s="125"/>
      <c r="I261" s="125"/>
      <c r="J261" s="125"/>
      <c r="K261" s="125"/>
      <c r="L261" s="125"/>
      <c r="M261" s="125"/>
      <c r="N261" s="125"/>
      <c r="O261" s="112"/>
    </row>
    <row r="262" spans="3:15" x14ac:dyDescent="0.25">
      <c r="C262" s="125"/>
      <c r="D262" s="124"/>
      <c r="E262" s="125"/>
      <c r="F262" s="125"/>
      <c r="G262" s="112"/>
      <c r="H262" s="125"/>
      <c r="I262" s="125"/>
      <c r="J262" s="125"/>
      <c r="K262" s="125"/>
      <c r="L262" s="125"/>
      <c r="M262" s="125"/>
      <c r="N262" s="125"/>
      <c r="O262" s="112"/>
    </row>
    <row r="263" spans="3:15" x14ac:dyDescent="0.25">
      <c r="C263" s="125"/>
      <c r="D263" s="124"/>
      <c r="E263" s="125" t="s">
        <v>303</v>
      </c>
      <c r="F263" s="125"/>
      <c r="G263" s="112" t="str">
        <f>Currency</f>
        <v>US$'000</v>
      </c>
      <c r="H263" s="125"/>
      <c r="I263" s="125"/>
      <c r="J263" s="91">
        <f>Assumptions!J104</f>
        <v>25</v>
      </c>
      <c r="K263" s="91">
        <f>Assumptions!K104</f>
        <v>25</v>
      </c>
      <c r="L263" s="91">
        <f>Assumptions!L104</f>
        <v>25</v>
      </c>
      <c r="M263" s="91">
        <f>Assumptions!M104</f>
        <v>25</v>
      </c>
      <c r="N263" s="91">
        <f>Assumptions!N104</f>
        <v>25</v>
      </c>
      <c r="O263" s="112"/>
    </row>
    <row r="264" spans="3:15" x14ac:dyDescent="0.25">
      <c r="C264" s="125"/>
      <c r="D264" s="124"/>
      <c r="E264" s="125" t="s">
        <v>304</v>
      </c>
      <c r="F264" s="125"/>
      <c r="G264" s="112" t="str">
        <f>Currency</f>
        <v>US$'000</v>
      </c>
      <c r="H264" s="125"/>
      <c r="I264" s="125"/>
      <c r="J264" s="91">
        <f>Assumptions!J105</f>
        <v>40</v>
      </c>
      <c r="K264" s="91">
        <f>Assumptions!K105</f>
        <v>16</v>
      </c>
      <c r="L264" s="91">
        <f>Assumptions!L105</f>
        <v>25</v>
      </c>
      <c r="M264" s="91">
        <f>Assumptions!M105</f>
        <v>30</v>
      </c>
      <c r="N264" s="91">
        <f>Assumptions!N105</f>
        <v>50</v>
      </c>
      <c r="O264" s="112"/>
    </row>
    <row r="265" spans="3:15" x14ac:dyDescent="0.25">
      <c r="C265" s="125"/>
      <c r="D265" s="124"/>
      <c r="E265" s="125"/>
      <c r="F265" s="125"/>
      <c r="G265" s="112"/>
      <c r="H265" s="125"/>
      <c r="I265" s="125"/>
      <c r="J265" s="130"/>
      <c r="K265" s="130"/>
      <c r="L265" s="130"/>
      <c r="M265" s="130"/>
      <c r="N265" s="130"/>
      <c r="O265" s="112"/>
    </row>
    <row r="266" spans="3:15" ht="14" x14ac:dyDescent="0.3">
      <c r="C266" s="125"/>
      <c r="D266" s="5" t="s">
        <v>315</v>
      </c>
      <c r="E266" s="125"/>
      <c r="F266" s="125"/>
      <c r="G266" s="112"/>
      <c r="H266" s="125"/>
      <c r="I266" s="125"/>
      <c r="J266" s="130"/>
      <c r="K266" s="130"/>
      <c r="L266" s="130"/>
      <c r="M266" s="130"/>
      <c r="N266" s="130"/>
      <c r="O266" s="112"/>
    </row>
    <row r="267" spans="3:15" x14ac:dyDescent="0.25">
      <c r="C267" s="125"/>
      <c r="D267" s="125"/>
      <c r="E267" s="125"/>
      <c r="F267" s="125"/>
      <c r="G267" s="112"/>
      <c r="H267" s="125"/>
      <c r="I267" s="125"/>
      <c r="J267" s="130"/>
      <c r="K267" s="130"/>
      <c r="L267" s="130"/>
      <c r="M267" s="130"/>
      <c r="N267" s="130"/>
      <c r="O267" s="112"/>
    </row>
    <row r="268" spans="3:15" x14ac:dyDescent="0.25">
      <c r="C268" s="125"/>
      <c r="D268" s="125"/>
      <c r="E268" s="125" t="s">
        <v>152</v>
      </c>
      <c r="F268" s="125"/>
      <c r="G268" s="112" t="str">
        <f>Currency</f>
        <v>US$'000</v>
      </c>
      <c r="H268" s="125"/>
      <c r="I268" s="125"/>
      <c r="J268" s="91"/>
      <c r="K268" s="91"/>
      <c r="L268" s="91"/>
      <c r="M268" s="91"/>
      <c r="N268" s="91"/>
      <c r="O268" s="112"/>
    </row>
    <row r="269" spans="3:15" x14ac:dyDescent="0.25">
      <c r="C269" s="125"/>
      <c r="D269" s="125"/>
      <c r="E269" s="125" t="s">
        <v>316</v>
      </c>
      <c r="F269" s="125"/>
      <c r="G269" s="112" t="str">
        <f>Currency</f>
        <v>US$'000</v>
      </c>
      <c r="H269" s="125"/>
      <c r="I269" s="125"/>
      <c r="J269" s="130"/>
      <c r="K269" s="130"/>
      <c r="L269" s="130"/>
      <c r="M269" s="130"/>
      <c r="N269" s="130"/>
      <c r="O269" s="112"/>
    </row>
    <row r="270" spans="3:15" x14ac:dyDescent="0.25">
      <c r="C270" s="125"/>
      <c r="D270" s="125"/>
      <c r="E270" s="125" t="s">
        <v>317</v>
      </c>
      <c r="F270" s="125"/>
      <c r="G270" s="112" t="str">
        <f>Currency</f>
        <v>US$'000</v>
      </c>
      <c r="H270" s="125"/>
      <c r="I270" s="125"/>
      <c r="J270" s="130"/>
      <c r="K270" s="130"/>
      <c r="L270" s="130"/>
      <c r="M270" s="130"/>
      <c r="N270" s="130"/>
      <c r="O270" s="112"/>
    </row>
    <row r="271" spans="3:15" x14ac:dyDescent="0.25">
      <c r="C271" s="125"/>
      <c r="D271" s="125"/>
      <c r="E271" s="125" t="s">
        <v>315</v>
      </c>
      <c r="F271" s="125"/>
      <c r="G271" s="112" t="str">
        <f>Currency</f>
        <v>US$'000</v>
      </c>
      <c r="H271" s="125"/>
      <c r="I271" s="125"/>
      <c r="J271" s="72"/>
      <c r="K271" s="72"/>
      <c r="L271" s="72"/>
      <c r="M271" s="72"/>
      <c r="N271" s="72"/>
      <c r="O271" s="112"/>
    </row>
    <row r="272" spans="3:15" x14ac:dyDescent="0.25">
      <c r="C272" s="125"/>
      <c r="D272" s="125"/>
      <c r="E272" s="125"/>
      <c r="F272" s="125"/>
      <c r="G272" s="112"/>
      <c r="H272" s="125"/>
      <c r="I272" s="125"/>
      <c r="J272" s="128"/>
      <c r="K272" s="128"/>
      <c r="L272" s="128"/>
      <c r="M272" s="128"/>
      <c r="N272" s="128"/>
      <c r="O272" s="112"/>
    </row>
    <row r="273" spans="3:15" x14ac:dyDescent="0.25">
      <c r="C273" s="125"/>
      <c r="D273" s="125"/>
      <c r="E273" s="125" t="s">
        <v>296</v>
      </c>
      <c r="F273" s="125"/>
      <c r="G273" s="112" t="str">
        <f>Percentage</f>
        <v>%</v>
      </c>
      <c r="H273" s="125"/>
      <c r="I273" s="125"/>
      <c r="J273" s="87">
        <f>Assumptions!$I$100</f>
        <v>0.3</v>
      </c>
      <c r="K273" s="87">
        <f>Assumptions!$I$100</f>
        <v>0.3</v>
      </c>
      <c r="L273" s="87">
        <f>Assumptions!$I$100</f>
        <v>0.3</v>
      </c>
      <c r="M273" s="87">
        <f>Assumptions!$I$100</f>
        <v>0.3</v>
      </c>
      <c r="N273" s="87">
        <f>Assumptions!$I$100</f>
        <v>0.3</v>
      </c>
      <c r="O273" s="112"/>
    </row>
    <row r="274" spans="3:15" x14ac:dyDescent="0.25">
      <c r="C274" s="125"/>
      <c r="D274" s="125"/>
      <c r="E274" s="125"/>
      <c r="F274" s="125"/>
      <c r="G274" s="112"/>
      <c r="H274" s="125"/>
      <c r="I274" s="125"/>
      <c r="J274" s="128"/>
      <c r="K274" s="128"/>
      <c r="L274" s="128"/>
      <c r="M274" s="128"/>
      <c r="N274" s="128"/>
      <c r="O274" s="112"/>
    </row>
    <row r="275" spans="3:15" x14ac:dyDescent="0.25">
      <c r="C275" s="125"/>
      <c r="D275" s="125"/>
      <c r="E275" s="125" t="s">
        <v>318</v>
      </c>
      <c r="F275" s="125"/>
      <c r="G275" s="112" t="str">
        <f>Currency</f>
        <v>US$'000</v>
      </c>
      <c r="H275" s="125"/>
      <c r="I275" s="125"/>
      <c r="J275" s="76"/>
      <c r="K275" s="76"/>
      <c r="L275" s="76"/>
      <c r="M275" s="76"/>
      <c r="N275" s="76"/>
      <c r="O275" s="112"/>
    </row>
    <row r="276" spans="3:15" x14ac:dyDescent="0.25">
      <c r="C276" s="125"/>
      <c r="D276" s="125"/>
      <c r="E276" s="125"/>
      <c r="F276" s="125"/>
      <c r="G276" s="112"/>
      <c r="H276" s="125"/>
      <c r="I276" s="125"/>
      <c r="J276" s="125"/>
      <c r="K276" s="125"/>
      <c r="L276" s="125"/>
      <c r="M276" s="125"/>
      <c r="N276" s="125"/>
      <c r="O276" s="112"/>
    </row>
    <row r="277" spans="3:15" ht="14" x14ac:dyDescent="0.3">
      <c r="C277" s="125"/>
      <c r="D277" s="5" t="s">
        <v>305</v>
      </c>
      <c r="E277" s="125"/>
      <c r="F277" s="125"/>
      <c r="G277" s="112"/>
      <c r="H277" s="125"/>
      <c r="I277" s="125"/>
      <c r="J277" s="125"/>
      <c r="K277" s="125"/>
      <c r="L277" s="125"/>
      <c r="M277" s="125"/>
      <c r="N277" s="125"/>
      <c r="O277" s="112"/>
    </row>
    <row r="278" spans="3:15" x14ac:dyDescent="0.25">
      <c r="C278" s="125"/>
      <c r="D278" s="124"/>
      <c r="E278" s="125"/>
      <c r="F278" s="125"/>
      <c r="G278" s="112"/>
      <c r="H278" s="125"/>
      <c r="I278" s="125"/>
      <c r="J278" s="125"/>
      <c r="K278" s="125"/>
      <c r="L278" s="125"/>
      <c r="M278" s="125"/>
      <c r="N278" s="125"/>
      <c r="O278" s="112"/>
    </row>
    <row r="279" spans="3:15" x14ac:dyDescent="0.25">
      <c r="C279" s="125"/>
      <c r="D279" s="124"/>
      <c r="E279" s="71" t="s">
        <v>262</v>
      </c>
      <c r="F279" s="125"/>
      <c r="G279" s="125"/>
      <c r="H279" s="125"/>
      <c r="I279" s="125"/>
      <c r="J279" s="125"/>
      <c r="K279" s="125"/>
      <c r="L279" s="125"/>
      <c r="M279" s="125"/>
      <c r="N279" s="125"/>
      <c r="O279" s="112"/>
    </row>
    <row r="280" spans="3:15" x14ac:dyDescent="0.25">
      <c r="C280" s="125"/>
      <c r="D280" s="124"/>
      <c r="E280" s="125" t="s">
        <v>268</v>
      </c>
      <c r="F280" s="125"/>
      <c r="G280" s="112" t="str">
        <f>Currency</f>
        <v>US$'000</v>
      </c>
      <c r="H280" s="125"/>
      <c r="I280" s="128"/>
      <c r="J280" s="125"/>
      <c r="K280" s="125"/>
      <c r="L280" s="125"/>
      <c r="M280" s="125"/>
      <c r="N280" s="125"/>
      <c r="O280" s="112"/>
    </row>
    <row r="281" spans="3:15" x14ac:dyDescent="0.25">
      <c r="C281" s="125"/>
      <c r="D281" s="124"/>
      <c r="E281" s="125" t="s">
        <v>262</v>
      </c>
      <c r="F281" s="125"/>
      <c r="G281" s="112" t="str">
        <f>Currency</f>
        <v>US$'000</v>
      </c>
      <c r="H281" s="125"/>
      <c r="I281" s="125"/>
      <c r="J281" s="128"/>
      <c r="K281" s="128"/>
      <c r="L281" s="128"/>
      <c r="M281" s="128"/>
      <c r="N281" s="128"/>
      <c r="O281" s="112"/>
    </row>
    <row r="282" spans="3:15" x14ac:dyDescent="0.25">
      <c r="C282" s="125"/>
      <c r="D282" s="124"/>
      <c r="E282" s="125"/>
      <c r="F282" s="125"/>
      <c r="G282" s="112"/>
      <c r="H282" s="125"/>
      <c r="I282" s="125"/>
      <c r="J282" s="125"/>
      <c r="K282" s="125"/>
      <c r="L282" s="125"/>
      <c r="M282" s="125"/>
      <c r="N282" s="125"/>
      <c r="O282" s="112"/>
    </row>
    <row r="283" spans="3:15" x14ac:dyDescent="0.25">
      <c r="C283" s="125"/>
      <c r="D283" s="124"/>
      <c r="E283" s="125" t="s">
        <v>306</v>
      </c>
      <c r="F283" s="125"/>
      <c r="G283" s="112" t="str">
        <f>Multiplier</f>
        <v>x</v>
      </c>
      <c r="H283" s="125"/>
      <c r="I283" s="145">
        <f>Assumptions!I109</f>
        <v>2</v>
      </c>
      <c r="J283" s="125"/>
      <c r="K283" s="125"/>
      <c r="L283" s="125"/>
      <c r="M283" s="125"/>
      <c r="N283" s="125"/>
      <c r="O283" s="112"/>
    </row>
    <row r="284" spans="3:15" x14ac:dyDescent="0.25">
      <c r="C284" s="125"/>
      <c r="D284" s="124"/>
      <c r="E284" s="125"/>
      <c r="F284" s="125"/>
      <c r="G284" s="112"/>
      <c r="H284" s="125"/>
      <c r="I284" s="125"/>
      <c r="J284" s="125"/>
      <c r="K284" s="125"/>
      <c r="L284" s="125"/>
      <c r="M284" s="125"/>
      <c r="N284" s="125"/>
      <c r="O284" s="112"/>
    </row>
    <row r="285" spans="3:15" x14ac:dyDescent="0.25">
      <c r="C285" s="125"/>
      <c r="D285" s="124"/>
      <c r="E285" s="125" t="s">
        <v>307</v>
      </c>
      <c r="F285" s="125"/>
      <c r="G285" s="112"/>
      <c r="H285" s="125"/>
      <c r="I285" s="146">
        <f>Assumptions!I111</f>
        <v>5</v>
      </c>
      <c r="J285" s="125"/>
      <c r="K285" s="125"/>
      <c r="L285" s="125"/>
      <c r="M285" s="125"/>
      <c r="N285" s="125"/>
      <c r="O285" s="112"/>
    </row>
    <row r="286" spans="3:15" x14ac:dyDescent="0.25">
      <c r="C286" s="125"/>
      <c r="D286" s="124"/>
      <c r="E286" s="125" t="s">
        <v>265</v>
      </c>
      <c r="F286" s="125"/>
      <c r="G286" s="112" t="str">
        <f>Percentage</f>
        <v>%</v>
      </c>
      <c r="H286" s="125"/>
      <c r="I286" s="87">
        <f>Assumptions!I112</f>
        <v>0.4</v>
      </c>
      <c r="J286" s="125"/>
      <c r="K286" s="125"/>
      <c r="L286" s="125"/>
      <c r="M286" s="125"/>
      <c r="N286" s="125"/>
      <c r="O286" s="112"/>
    </row>
    <row r="287" spans="3:15" ht="12" x14ac:dyDescent="0.3">
      <c r="C287" s="125"/>
      <c r="D287" s="124"/>
      <c r="E287" s="125"/>
      <c r="F287" s="125"/>
      <c r="G287" s="112"/>
      <c r="H287" s="125"/>
      <c r="I287" s="125"/>
      <c r="J287" s="125"/>
      <c r="K287" s="125"/>
      <c r="L287" s="125"/>
      <c r="M287" s="125"/>
      <c r="N287" s="112"/>
      <c r="O287" s="135" t="str">
        <f t="shared" ref="O287" ca="1" si="100">IFERROR(_xlfn.FORMULATEXT(I287),"")</f>
        <v/>
      </c>
    </row>
    <row r="288" spans="3:15" x14ac:dyDescent="0.25">
      <c r="C288" s="125"/>
      <c r="D288" s="124"/>
      <c r="E288" s="125" t="s">
        <v>319</v>
      </c>
      <c r="F288" s="125"/>
      <c r="G288" s="112"/>
      <c r="H288" s="125"/>
      <c r="I288" s="146">
        <f>Assumptions!I114</f>
        <v>4</v>
      </c>
      <c r="J288" s="125"/>
      <c r="K288" s="125"/>
      <c r="L288" s="125"/>
      <c r="M288" s="125"/>
      <c r="N288" s="125"/>
      <c r="O288" s="112"/>
    </row>
    <row r="289" spans="3:15" x14ac:dyDescent="0.25">
      <c r="C289" s="125"/>
      <c r="D289" s="124"/>
      <c r="E289" s="125" t="s">
        <v>265</v>
      </c>
      <c r="F289" s="125"/>
      <c r="G289" s="112" t="str">
        <f>Percentage</f>
        <v>%</v>
      </c>
      <c r="H289" s="125"/>
      <c r="I289" s="87">
        <f>Assumptions!I115</f>
        <v>0.5</v>
      </c>
      <c r="J289" s="125"/>
      <c r="K289" s="125"/>
      <c r="L289" s="125"/>
      <c r="M289" s="125"/>
      <c r="N289" s="125"/>
      <c r="O289" s="112"/>
    </row>
    <row r="290" spans="3:15" x14ac:dyDescent="0.25">
      <c r="C290" s="125"/>
      <c r="D290" s="124"/>
      <c r="E290" s="125"/>
      <c r="F290" s="125"/>
      <c r="G290" s="112"/>
      <c r="H290" s="125"/>
      <c r="I290" s="125"/>
      <c r="J290" s="125"/>
      <c r="K290" s="125"/>
      <c r="L290" s="125"/>
      <c r="M290" s="125"/>
      <c r="N290" s="125"/>
      <c r="O290" s="112"/>
    </row>
    <row r="291" spans="3:15" ht="12" x14ac:dyDescent="0.3">
      <c r="C291" s="125"/>
      <c r="D291" s="124"/>
      <c r="E291" s="125" t="s">
        <v>269</v>
      </c>
      <c r="F291" s="125"/>
      <c r="G291" s="112" t="str">
        <f t="shared" ref="G291:G297" si="101">Currency</f>
        <v>US$'000</v>
      </c>
      <c r="H291" s="60"/>
      <c r="I291" s="136"/>
      <c r="J291" s="128"/>
      <c r="K291" s="128"/>
      <c r="L291" s="128"/>
      <c r="M291" s="128"/>
      <c r="N291" s="128"/>
      <c r="O291" s="112"/>
    </row>
    <row r="292" spans="3:15" ht="12" x14ac:dyDescent="0.3">
      <c r="C292" s="125"/>
      <c r="D292" s="124"/>
      <c r="E292" s="137">
        <v>1</v>
      </c>
      <c r="F292" s="125"/>
      <c r="G292" s="112" t="str">
        <f t="shared" si="101"/>
        <v>US$'000</v>
      </c>
      <c r="H292" s="60"/>
      <c r="I292" s="136"/>
      <c r="J292" s="128"/>
      <c r="K292" s="128"/>
      <c r="L292" s="128"/>
      <c r="M292" s="128"/>
      <c r="N292" s="128"/>
      <c r="O292" s="112"/>
    </row>
    <row r="293" spans="3:15" ht="12" x14ac:dyDescent="0.3">
      <c r="C293" s="125"/>
      <c r="D293" s="124"/>
      <c r="E293" s="137">
        <v>2</v>
      </c>
      <c r="F293" s="125"/>
      <c r="G293" s="112" t="str">
        <f t="shared" si="101"/>
        <v>US$'000</v>
      </c>
      <c r="H293" s="60"/>
      <c r="I293" s="136"/>
      <c r="J293" s="128"/>
      <c r="K293" s="128"/>
      <c r="L293" s="128"/>
      <c r="M293" s="128"/>
      <c r="N293" s="128"/>
      <c r="O293" s="112"/>
    </row>
    <row r="294" spans="3:15" ht="12" x14ac:dyDescent="0.3">
      <c r="C294" s="125"/>
      <c r="D294" s="124"/>
      <c r="E294" s="137">
        <v>3</v>
      </c>
      <c r="F294" s="125"/>
      <c r="G294" s="112" t="str">
        <f t="shared" si="101"/>
        <v>US$'000</v>
      </c>
      <c r="H294" s="60"/>
      <c r="I294" s="136"/>
      <c r="J294" s="128"/>
      <c r="K294" s="128"/>
      <c r="L294" s="128"/>
      <c r="M294" s="128"/>
      <c r="N294" s="128"/>
      <c r="O294" s="112"/>
    </row>
    <row r="295" spans="3:15" ht="12" x14ac:dyDescent="0.3">
      <c r="C295" s="125"/>
      <c r="D295" s="124"/>
      <c r="E295" s="137">
        <v>4</v>
      </c>
      <c r="F295" s="125"/>
      <c r="G295" s="112" t="str">
        <f t="shared" si="101"/>
        <v>US$'000</v>
      </c>
      <c r="H295" s="60"/>
      <c r="I295" s="136"/>
      <c r="J295" s="128"/>
      <c r="K295" s="128"/>
      <c r="L295" s="128"/>
      <c r="M295" s="128"/>
      <c r="N295" s="128"/>
      <c r="O295" s="112"/>
    </row>
    <row r="296" spans="3:15" ht="12" x14ac:dyDescent="0.3">
      <c r="C296" s="125"/>
      <c r="D296" s="124"/>
      <c r="E296" s="137">
        <v>5</v>
      </c>
      <c r="F296" s="125"/>
      <c r="G296" s="112" t="str">
        <f t="shared" si="101"/>
        <v>US$'000</v>
      </c>
      <c r="H296" s="60"/>
      <c r="I296" s="136"/>
      <c r="J296" s="128"/>
      <c r="K296" s="128"/>
      <c r="L296" s="128"/>
      <c r="M296" s="128"/>
      <c r="N296" s="128"/>
      <c r="O296" s="112"/>
    </row>
    <row r="297" spans="3:15" x14ac:dyDescent="0.25">
      <c r="C297" s="125"/>
      <c r="D297" s="124"/>
      <c r="E297" s="125" t="s">
        <v>320</v>
      </c>
      <c r="F297" s="125"/>
      <c r="G297" s="112" t="str">
        <f t="shared" si="101"/>
        <v>US$'000</v>
      </c>
      <c r="H297" s="138"/>
      <c r="I297" s="138"/>
      <c r="J297" s="139"/>
      <c r="K297" s="129"/>
      <c r="L297" s="129"/>
      <c r="M297" s="129"/>
      <c r="N297" s="129"/>
      <c r="O297" s="112"/>
    </row>
    <row r="298" spans="3:15" x14ac:dyDescent="0.25">
      <c r="C298" s="125"/>
      <c r="D298" s="124"/>
      <c r="E298" s="125"/>
      <c r="F298" s="125"/>
      <c r="G298" s="112"/>
      <c r="H298" s="125"/>
      <c r="I298" s="125"/>
      <c r="J298" s="125"/>
      <c r="K298" s="125"/>
      <c r="L298" s="125"/>
      <c r="M298" s="125"/>
      <c r="N298" s="125"/>
      <c r="O298" s="112"/>
    </row>
    <row r="299" spans="3:15" ht="14" x14ac:dyDescent="0.3">
      <c r="C299" s="125"/>
      <c r="D299" s="5" t="s">
        <v>321</v>
      </c>
      <c r="E299" s="125"/>
      <c r="F299" s="125"/>
      <c r="G299" s="112"/>
      <c r="H299" s="125"/>
      <c r="I299" s="125"/>
      <c r="J299" s="125"/>
      <c r="K299" s="125"/>
      <c r="L299" s="125"/>
      <c r="M299" s="125"/>
      <c r="N299" s="125"/>
      <c r="O299" s="112"/>
    </row>
    <row r="300" spans="3:15" x14ac:dyDescent="0.25">
      <c r="C300" s="125"/>
      <c r="D300" s="124"/>
      <c r="E300" s="125"/>
      <c r="F300" s="125"/>
      <c r="G300" s="112"/>
      <c r="H300" s="125"/>
      <c r="I300" s="125"/>
      <c r="J300" s="125"/>
      <c r="K300" s="125"/>
      <c r="L300" s="125"/>
      <c r="M300" s="125"/>
      <c r="N300" s="125"/>
      <c r="O300" s="112"/>
    </row>
    <row r="301" spans="3:15" x14ac:dyDescent="0.25">
      <c r="C301" s="125"/>
      <c r="D301" s="124"/>
      <c r="E301" s="125" t="s">
        <v>321</v>
      </c>
      <c r="F301" s="125"/>
      <c r="G301" s="112" t="str">
        <f>Currency</f>
        <v>US$'000</v>
      </c>
      <c r="H301" s="125"/>
      <c r="I301" s="140"/>
      <c r="J301" s="126"/>
      <c r="K301" s="126"/>
      <c r="L301" s="126"/>
      <c r="M301" s="126"/>
      <c r="N301" s="126"/>
      <c r="O301" s="112"/>
    </row>
    <row r="302" spans="3:15" x14ac:dyDescent="0.25">
      <c r="C302" s="125"/>
      <c r="D302" s="124"/>
      <c r="E302" s="125"/>
      <c r="F302" s="125"/>
      <c r="G302" s="112"/>
      <c r="H302" s="125"/>
      <c r="I302" s="125"/>
      <c r="J302" s="125"/>
      <c r="K302" s="125"/>
      <c r="L302" s="125"/>
      <c r="M302" s="125"/>
      <c r="N302" s="125"/>
      <c r="O302" s="112"/>
    </row>
    <row r="303" spans="3:15" ht="14" x14ac:dyDescent="0.3">
      <c r="C303" s="125"/>
      <c r="D303" s="5" t="s">
        <v>322</v>
      </c>
      <c r="E303" s="125"/>
      <c r="F303" s="125"/>
      <c r="G303" s="112"/>
      <c r="H303" s="125"/>
      <c r="I303" s="125"/>
      <c r="J303" s="125"/>
      <c r="K303" s="125"/>
      <c r="L303" s="125"/>
      <c r="M303" s="125"/>
      <c r="N303" s="125"/>
      <c r="O303" s="112"/>
    </row>
    <row r="304" spans="3:15" x14ac:dyDescent="0.25">
      <c r="C304" s="125"/>
      <c r="D304" s="125"/>
      <c r="E304" s="125"/>
      <c r="F304" s="125"/>
      <c r="G304" s="112"/>
      <c r="H304" s="125"/>
      <c r="I304" s="125"/>
      <c r="J304" s="125"/>
      <c r="K304" s="125"/>
      <c r="L304" s="125"/>
      <c r="M304" s="125"/>
      <c r="N304" s="125"/>
      <c r="O304" s="112"/>
    </row>
    <row r="305" spans="3:15" x14ac:dyDescent="0.25">
      <c r="C305" s="125"/>
      <c r="D305" s="125"/>
      <c r="E305" s="125" t="s">
        <v>321</v>
      </c>
      <c r="F305" s="125"/>
      <c r="G305" s="112" t="str">
        <f>Currency</f>
        <v>US$'000</v>
      </c>
      <c r="H305" s="125"/>
      <c r="I305" s="125"/>
      <c r="J305" s="126"/>
      <c r="K305" s="126"/>
      <c r="L305" s="126"/>
      <c r="M305" s="126"/>
      <c r="N305" s="126"/>
      <c r="O305" s="112"/>
    </row>
    <row r="306" spans="3:15" x14ac:dyDescent="0.25">
      <c r="C306" s="125"/>
      <c r="D306" s="125"/>
      <c r="E306" s="125" t="s">
        <v>320</v>
      </c>
      <c r="F306" s="125"/>
      <c r="G306" s="112" t="str">
        <f>Currency</f>
        <v>US$'000</v>
      </c>
      <c r="H306" s="125"/>
      <c r="I306" s="125"/>
      <c r="J306" s="126"/>
      <c r="K306" s="126"/>
      <c r="L306" s="126"/>
      <c r="M306" s="126"/>
      <c r="N306" s="126"/>
      <c r="O306" s="112"/>
    </row>
    <row r="307" spans="3:15" x14ac:dyDescent="0.25">
      <c r="C307" s="125"/>
      <c r="D307" s="125"/>
      <c r="E307" s="125" t="s">
        <v>322</v>
      </c>
      <c r="F307" s="125"/>
      <c r="G307" s="112" t="str">
        <f>Currency</f>
        <v>US$'000</v>
      </c>
      <c r="H307" s="125"/>
      <c r="I307" s="125"/>
      <c r="J307" s="141"/>
      <c r="K307" s="141"/>
      <c r="L307" s="141"/>
      <c r="M307" s="141"/>
      <c r="N307" s="141"/>
      <c r="O307" s="112"/>
    </row>
    <row r="308" spans="3:15" x14ac:dyDescent="0.25">
      <c r="C308" s="125"/>
      <c r="D308" s="125"/>
      <c r="E308" s="125"/>
      <c r="F308" s="125"/>
      <c r="G308" s="112"/>
      <c r="H308" s="125"/>
      <c r="I308" s="125"/>
      <c r="J308" s="125"/>
      <c r="K308" s="125"/>
      <c r="L308" s="125"/>
      <c r="M308" s="125"/>
      <c r="N308" s="125"/>
      <c r="O308" s="112"/>
    </row>
    <row r="309" spans="3:15" x14ac:dyDescent="0.25">
      <c r="C309" s="125"/>
      <c r="D309" s="125"/>
      <c r="E309" s="125" t="s">
        <v>296</v>
      </c>
      <c r="F309" s="125"/>
      <c r="G309" s="112" t="str">
        <f>Percentage</f>
        <v>%</v>
      </c>
      <c r="H309" s="125"/>
      <c r="I309" s="125"/>
      <c r="J309" s="40"/>
      <c r="K309" s="40"/>
      <c r="L309" s="40"/>
      <c r="M309" s="40"/>
      <c r="N309" s="40"/>
      <c r="O309" s="112"/>
    </row>
    <row r="310" spans="3:15" x14ac:dyDescent="0.25">
      <c r="C310" s="125"/>
      <c r="D310" s="125"/>
      <c r="E310" s="125"/>
      <c r="F310" s="125"/>
      <c r="G310" s="112"/>
      <c r="H310" s="125"/>
      <c r="I310" s="125"/>
      <c r="J310" s="125"/>
      <c r="K310" s="125"/>
      <c r="L310" s="125"/>
      <c r="M310" s="125"/>
      <c r="N310" s="125"/>
      <c r="O310" s="112"/>
    </row>
    <row r="311" spans="3:15" x14ac:dyDescent="0.25">
      <c r="C311" s="125"/>
      <c r="D311" s="125"/>
      <c r="E311" s="125" t="s">
        <v>323</v>
      </c>
      <c r="F311" s="125"/>
      <c r="G311" s="112" t="str">
        <f>Currency</f>
        <v>US$'000</v>
      </c>
      <c r="H311" s="125"/>
      <c r="I311" s="125"/>
      <c r="J311" s="129"/>
      <c r="K311" s="129"/>
      <c r="L311" s="129"/>
      <c r="M311" s="129"/>
      <c r="N311" s="129"/>
      <c r="O311" s="112"/>
    </row>
    <row r="312" spans="3:15" x14ac:dyDescent="0.25">
      <c r="C312" s="125"/>
      <c r="D312" s="125"/>
      <c r="E312" s="125"/>
      <c r="F312" s="125"/>
      <c r="G312" s="112"/>
      <c r="H312" s="125"/>
      <c r="I312" s="125"/>
      <c r="J312" s="125"/>
      <c r="K312" s="125"/>
      <c r="L312" s="125"/>
      <c r="M312" s="125"/>
      <c r="N312" s="125"/>
      <c r="O312" s="112"/>
    </row>
    <row r="313" spans="3:15" x14ac:dyDescent="0.25">
      <c r="C313" s="125"/>
      <c r="D313" s="125"/>
      <c r="E313" s="125" t="s">
        <v>324</v>
      </c>
      <c r="F313" s="125"/>
      <c r="G313" s="112" t="str">
        <f>Currency</f>
        <v>US$'000</v>
      </c>
      <c r="H313" s="125"/>
      <c r="I313" s="125"/>
      <c r="J313" s="126"/>
      <c r="K313" s="126"/>
      <c r="L313" s="126"/>
      <c r="M313" s="126"/>
      <c r="N313" s="126"/>
      <c r="O313" s="112"/>
    </row>
    <row r="314" spans="3:15" x14ac:dyDescent="0.25">
      <c r="C314" s="125"/>
      <c r="D314" s="125"/>
      <c r="E314" s="125" t="s">
        <v>323</v>
      </c>
      <c r="F314" s="125"/>
      <c r="G314" s="112" t="str">
        <f>Currency</f>
        <v>US$'000</v>
      </c>
      <c r="H314" s="125"/>
      <c r="I314" s="125"/>
      <c r="J314" s="126"/>
      <c r="K314" s="126"/>
      <c r="L314" s="126"/>
      <c r="M314" s="126"/>
      <c r="N314" s="126"/>
      <c r="O314" s="112"/>
    </row>
    <row r="315" spans="3:15" x14ac:dyDescent="0.25">
      <c r="C315" s="125"/>
      <c r="D315" s="125"/>
      <c r="E315" s="125" t="s">
        <v>325</v>
      </c>
      <c r="F315" s="125"/>
      <c r="G315" s="112" t="str">
        <f>Currency</f>
        <v>US$'000</v>
      </c>
      <c r="H315" s="125"/>
      <c r="I315" s="101">
        <f>Assumptions!I125</f>
        <v>0</v>
      </c>
      <c r="J315" s="142"/>
      <c r="K315" s="141"/>
      <c r="L315" s="141"/>
      <c r="M315" s="141"/>
      <c r="N315" s="141"/>
      <c r="O315" s="158" t="s">
        <v>109</v>
      </c>
    </row>
    <row r="316" spans="3:15" x14ac:dyDescent="0.25">
      <c r="C316" s="125"/>
      <c r="D316" s="125"/>
      <c r="E316" s="125"/>
      <c r="F316" s="125"/>
      <c r="G316" s="112"/>
      <c r="H316" s="125"/>
      <c r="I316" s="125"/>
      <c r="J316" s="125"/>
      <c r="K316" s="125"/>
      <c r="L316" s="125"/>
      <c r="M316" s="125"/>
      <c r="N316" s="125"/>
      <c r="O316" s="112"/>
    </row>
    <row r="317" spans="3:15" ht="14" x14ac:dyDescent="0.3">
      <c r="C317" s="125"/>
      <c r="D317" s="5" t="s">
        <v>313</v>
      </c>
      <c r="E317" s="125"/>
      <c r="F317" s="125"/>
      <c r="G317" s="112"/>
      <c r="H317" s="125"/>
      <c r="I317" s="125"/>
      <c r="J317" s="125"/>
      <c r="K317" s="125"/>
      <c r="L317" s="125"/>
      <c r="M317" s="125"/>
      <c r="N317" s="125"/>
      <c r="O317" s="112"/>
    </row>
    <row r="318" spans="3:15" x14ac:dyDescent="0.25">
      <c r="C318" s="125"/>
      <c r="D318" s="124"/>
      <c r="E318" s="125"/>
      <c r="F318" s="125"/>
      <c r="G318" s="112"/>
      <c r="H318" s="125"/>
      <c r="I318" s="125"/>
      <c r="J318" s="125"/>
      <c r="K318" s="125"/>
      <c r="L318" s="125"/>
      <c r="M318" s="125"/>
      <c r="N318" s="125"/>
      <c r="O318" s="112"/>
    </row>
    <row r="319" spans="3:15" x14ac:dyDescent="0.25">
      <c r="C319" s="125"/>
      <c r="D319" s="124"/>
      <c r="E319" s="125" t="s">
        <v>315</v>
      </c>
      <c r="F319" s="125"/>
      <c r="G319" s="112" t="str">
        <f>Currency</f>
        <v>US$'000</v>
      </c>
      <c r="H319" s="125"/>
      <c r="I319" s="125"/>
      <c r="J319" s="126"/>
      <c r="K319" s="126"/>
      <c r="L319" s="126"/>
      <c r="M319" s="126"/>
      <c r="N319" s="126"/>
      <c r="O319" s="112"/>
    </row>
    <row r="320" spans="3:15" x14ac:dyDescent="0.25">
      <c r="C320" s="125"/>
      <c r="D320" s="124"/>
      <c r="E320" s="125" t="s">
        <v>322</v>
      </c>
      <c r="F320" s="125"/>
      <c r="G320" s="112" t="str">
        <f>Currency</f>
        <v>US$'000</v>
      </c>
      <c r="H320" s="125"/>
      <c r="I320" s="125"/>
      <c r="J320" s="126"/>
      <c r="K320" s="126"/>
      <c r="L320" s="126"/>
      <c r="M320" s="126"/>
      <c r="N320" s="126"/>
      <c r="O320" s="112"/>
    </row>
    <row r="321" spans="3:15" x14ac:dyDescent="0.25">
      <c r="C321" s="125"/>
      <c r="D321" s="124"/>
      <c r="E321" s="125" t="s">
        <v>326</v>
      </c>
      <c r="F321" s="125"/>
      <c r="G321" s="112" t="str">
        <f>Currency</f>
        <v>US$'000</v>
      </c>
      <c r="H321" s="125"/>
      <c r="I321" s="125"/>
      <c r="J321" s="141"/>
      <c r="K321" s="141"/>
      <c r="L321" s="141"/>
      <c r="M321" s="141"/>
      <c r="N321" s="141"/>
      <c r="O321" s="112"/>
    </row>
    <row r="322" spans="3:15" x14ac:dyDescent="0.25">
      <c r="C322" s="125"/>
      <c r="D322" s="124"/>
      <c r="E322" s="125" t="s">
        <v>327</v>
      </c>
      <c r="F322" s="125"/>
      <c r="G322" s="112" t="str">
        <f>Currency</f>
        <v>US$'000</v>
      </c>
      <c r="H322" s="125"/>
      <c r="I322" s="125"/>
      <c r="J322" s="128"/>
      <c r="K322" s="128"/>
      <c r="L322" s="128"/>
      <c r="M322" s="128"/>
      <c r="N322" s="128"/>
      <c r="O322" s="112"/>
    </row>
    <row r="323" spans="3:15" x14ac:dyDescent="0.25">
      <c r="C323" s="125"/>
      <c r="D323" s="124"/>
      <c r="E323" s="125" t="s">
        <v>328</v>
      </c>
      <c r="F323" s="125"/>
      <c r="G323" s="112" t="str">
        <f>Currency</f>
        <v>US$'000</v>
      </c>
      <c r="H323" s="125"/>
      <c r="I323" s="125"/>
      <c r="J323" s="141"/>
      <c r="K323" s="141"/>
      <c r="L323" s="141"/>
      <c r="M323" s="141"/>
      <c r="N323" s="141"/>
      <c r="O323" s="112"/>
    </row>
    <row r="324" spans="3:15" x14ac:dyDescent="0.25">
      <c r="C324" s="125"/>
      <c r="D324" s="124"/>
      <c r="E324" s="125" t="s">
        <v>296</v>
      </c>
      <c r="F324" s="125"/>
      <c r="G324" s="112" t="str">
        <f>Percentage</f>
        <v>%</v>
      </c>
      <c r="H324" s="125"/>
      <c r="I324" s="125"/>
      <c r="J324" s="143"/>
      <c r="K324" s="143"/>
      <c r="L324" s="143"/>
      <c r="M324" s="143"/>
      <c r="N324" s="143"/>
      <c r="O324" s="112"/>
    </row>
    <row r="325" spans="3:15" x14ac:dyDescent="0.25">
      <c r="C325" s="125"/>
      <c r="D325" s="124"/>
      <c r="E325" s="125" t="s">
        <v>329</v>
      </c>
      <c r="F325" s="125"/>
      <c r="G325" s="112" t="str">
        <f>Currency</f>
        <v>US$'000</v>
      </c>
      <c r="H325" s="125"/>
      <c r="I325" s="125"/>
      <c r="J325" s="129"/>
      <c r="K325" s="129"/>
      <c r="L325" s="129"/>
      <c r="M325" s="129"/>
      <c r="N325" s="129"/>
      <c r="O325" s="112"/>
    </row>
    <row r="326" spans="3:15" x14ac:dyDescent="0.25">
      <c r="C326" s="125"/>
      <c r="D326" s="124"/>
      <c r="E326" s="125"/>
      <c r="F326" s="125"/>
      <c r="G326" s="112"/>
      <c r="H326" s="125"/>
      <c r="I326" s="125"/>
      <c r="J326" s="125"/>
      <c r="K326" s="125"/>
      <c r="L326" s="125"/>
      <c r="M326" s="125"/>
      <c r="N326" s="125"/>
      <c r="O326" s="112"/>
    </row>
    <row r="327" spans="3:15" x14ac:dyDescent="0.25">
      <c r="C327" s="125"/>
      <c r="D327" s="124"/>
      <c r="E327" s="125" t="s">
        <v>314</v>
      </c>
      <c r="F327" s="125"/>
      <c r="G327" s="112" t="str">
        <f>No_of_Years</f>
        <v># Year(s)</v>
      </c>
      <c r="H327" s="125"/>
      <c r="I327" s="146">
        <f>Assumptions!I129</f>
        <v>1</v>
      </c>
      <c r="J327" s="125"/>
      <c r="K327" s="125"/>
      <c r="L327" s="125"/>
      <c r="M327" s="125"/>
      <c r="N327" s="125"/>
      <c r="O327" s="112"/>
    </row>
    <row r="328" spans="3:15" x14ac:dyDescent="0.25">
      <c r="C328" s="125"/>
      <c r="D328" s="124"/>
      <c r="E328" s="125"/>
      <c r="F328" s="125"/>
      <c r="G328" s="112"/>
      <c r="H328" s="125"/>
      <c r="I328" s="125"/>
      <c r="J328" s="125"/>
      <c r="K328" s="125"/>
      <c r="L328" s="125"/>
      <c r="M328" s="125"/>
      <c r="N328" s="125"/>
      <c r="O328" s="112"/>
    </row>
    <row r="329" spans="3:15" x14ac:dyDescent="0.25">
      <c r="C329" s="125"/>
      <c r="D329" s="124"/>
      <c r="E329" s="125" t="s">
        <v>330</v>
      </c>
      <c r="F329" s="125"/>
      <c r="G329" s="112" t="str">
        <f>Currency</f>
        <v>US$'000</v>
      </c>
      <c r="H329" s="125"/>
      <c r="I329" s="125"/>
      <c r="J329" s="128"/>
      <c r="K329" s="128"/>
      <c r="L329" s="128"/>
      <c r="M329" s="128"/>
      <c r="N329" s="128"/>
      <c r="O329" s="112"/>
    </row>
    <row r="330" spans="3:15" ht="12" x14ac:dyDescent="0.3">
      <c r="C330" s="125"/>
      <c r="D330" s="124"/>
      <c r="E330" s="125" t="s">
        <v>329</v>
      </c>
      <c r="F330" s="125"/>
      <c r="G330" s="112" t="str">
        <f>Currency</f>
        <v>US$'000</v>
      </c>
      <c r="H330" s="125"/>
      <c r="I330" s="111">
        <f>I332</f>
        <v>0</v>
      </c>
      <c r="J330" s="128"/>
      <c r="K330" s="128"/>
      <c r="L330" s="128"/>
      <c r="M330" s="128"/>
      <c r="N330" s="128"/>
      <c r="O330" s="112"/>
    </row>
    <row r="331" spans="3:15" x14ac:dyDescent="0.25">
      <c r="C331" s="125"/>
      <c r="D331" s="124"/>
      <c r="E331" s="125" t="s">
        <v>187</v>
      </c>
      <c r="F331" s="125"/>
      <c r="G331" s="112" t="str">
        <f>Currency</f>
        <v>US$'000</v>
      </c>
      <c r="H331" s="125"/>
      <c r="I331" s="125"/>
      <c r="J331" s="128"/>
      <c r="K331" s="128"/>
      <c r="L331" s="128"/>
      <c r="M331" s="128"/>
      <c r="N331" s="128"/>
      <c r="O331" s="112"/>
    </row>
    <row r="332" spans="3:15" x14ac:dyDescent="0.25">
      <c r="C332" s="125"/>
      <c r="D332" s="124"/>
      <c r="E332" s="125" t="s">
        <v>331</v>
      </c>
      <c r="F332" s="125"/>
      <c r="G332" s="112" t="str">
        <f>Currency</f>
        <v>US$'000</v>
      </c>
      <c r="H332" s="125"/>
      <c r="I332" s="101"/>
      <c r="J332" s="144"/>
      <c r="K332" s="129"/>
      <c r="L332" s="129"/>
      <c r="M332" s="129"/>
      <c r="N332" s="129"/>
      <c r="O332" s="112"/>
    </row>
    <row r="333" spans="3:15" x14ac:dyDescent="0.25">
      <c r="C333" s="125"/>
      <c r="D333" s="124"/>
      <c r="E333" s="125"/>
      <c r="F333" s="125"/>
      <c r="G333" s="112"/>
      <c r="H333" s="125"/>
      <c r="I333" s="125"/>
      <c r="J333" s="125"/>
      <c r="K333" s="125"/>
      <c r="L333" s="125"/>
      <c r="M333" s="125"/>
      <c r="N333" s="125"/>
      <c r="O333" s="112"/>
    </row>
    <row r="334" spans="3:15" ht="14" x14ac:dyDescent="0.3">
      <c r="C334" s="125"/>
      <c r="D334" s="5" t="s">
        <v>332</v>
      </c>
      <c r="E334" s="125"/>
      <c r="F334" s="125"/>
      <c r="G334" s="112"/>
      <c r="H334" s="125"/>
      <c r="I334" s="125"/>
      <c r="J334" s="125"/>
      <c r="K334" s="125"/>
      <c r="L334" s="125"/>
      <c r="M334" s="125"/>
      <c r="N334" s="125"/>
      <c r="O334" s="112"/>
    </row>
    <row r="335" spans="3:15" x14ac:dyDescent="0.25">
      <c r="C335" s="125"/>
      <c r="D335" s="125"/>
      <c r="E335" s="125"/>
      <c r="F335" s="125"/>
      <c r="G335" s="112"/>
      <c r="H335" s="125"/>
      <c r="I335" s="125"/>
      <c r="J335" s="125"/>
      <c r="K335" s="125"/>
      <c r="L335" s="125"/>
      <c r="M335" s="125"/>
      <c r="N335" s="125"/>
      <c r="O335" s="112"/>
    </row>
    <row r="336" spans="3:15" x14ac:dyDescent="0.25">
      <c r="C336" s="125"/>
      <c r="D336" s="125"/>
      <c r="E336" s="125" t="s">
        <v>309</v>
      </c>
      <c r="F336" s="125"/>
      <c r="G336" s="112" t="str">
        <f>Currency</f>
        <v>US$'000</v>
      </c>
      <c r="H336" s="125"/>
      <c r="I336" s="102">
        <f>Assumptions!I120</f>
        <v>0</v>
      </c>
      <c r="J336" s="125"/>
      <c r="K336" s="125"/>
      <c r="L336" s="125"/>
      <c r="M336" s="125"/>
      <c r="N336" s="125"/>
      <c r="O336" s="112"/>
    </row>
    <row r="337" spans="3:15" x14ac:dyDescent="0.25">
      <c r="C337" s="125"/>
      <c r="D337" s="125"/>
      <c r="E337" s="125" t="s">
        <v>296</v>
      </c>
      <c r="F337" s="125"/>
      <c r="G337" s="112" t="str">
        <f>Percentage</f>
        <v>%</v>
      </c>
      <c r="H337" s="125"/>
      <c r="I337" s="87">
        <f>Assumptions!$I$100</f>
        <v>0.3</v>
      </c>
      <c r="J337" s="125"/>
      <c r="K337" s="125"/>
      <c r="L337" s="125"/>
      <c r="M337" s="125"/>
      <c r="N337" s="125"/>
      <c r="O337" s="112"/>
    </row>
    <row r="338" spans="3:15" x14ac:dyDescent="0.25">
      <c r="C338" s="125"/>
      <c r="D338" s="125"/>
      <c r="E338" s="125" t="s">
        <v>333</v>
      </c>
      <c r="F338" s="125"/>
      <c r="G338" s="112" t="str">
        <f>Currency</f>
        <v>US$'000</v>
      </c>
      <c r="H338" s="125"/>
      <c r="I338" s="128"/>
      <c r="J338" s="125"/>
      <c r="K338" s="125"/>
      <c r="L338" s="125"/>
      <c r="M338" s="125"/>
      <c r="N338" s="125"/>
      <c r="O338" s="112"/>
    </row>
    <row r="339" spans="3:15" x14ac:dyDescent="0.25">
      <c r="C339" s="125"/>
      <c r="D339" s="125"/>
      <c r="E339" s="125"/>
      <c r="F339" s="125"/>
      <c r="G339" s="112"/>
      <c r="H339" s="125"/>
      <c r="I339" s="125"/>
      <c r="J339" s="125"/>
      <c r="K339" s="125"/>
      <c r="L339" s="125"/>
      <c r="M339" s="125"/>
      <c r="N339" s="125"/>
      <c r="O339" s="112"/>
    </row>
    <row r="340" spans="3:15" x14ac:dyDescent="0.25">
      <c r="C340" s="125"/>
      <c r="D340" s="125"/>
      <c r="E340" s="125" t="s">
        <v>333</v>
      </c>
      <c r="F340" s="125"/>
      <c r="G340" s="112" t="str">
        <f>Currency</f>
        <v>US$'000</v>
      </c>
      <c r="H340" s="125"/>
      <c r="I340" s="125"/>
      <c r="J340" s="128"/>
      <c r="K340" s="128"/>
      <c r="L340" s="128"/>
      <c r="M340" s="128"/>
      <c r="N340" s="128"/>
      <c r="O340" s="112"/>
    </row>
    <row r="341" spans="3:15" x14ac:dyDescent="0.25">
      <c r="C341" s="125"/>
      <c r="D341" s="125"/>
      <c r="E341" s="125" t="s">
        <v>334</v>
      </c>
      <c r="F341" s="125"/>
      <c r="G341" s="112" t="str">
        <f>Currency</f>
        <v>US$'000</v>
      </c>
      <c r="H341" s="125"/>
      <c r="I341" s="125"/>
      <c r="J341" s="128"/>
      <c r="K341" s="128"/>
      <c r="L341" s="128"/>
      <c r="M341" s="128"/>
      <c r="N341" s="128"/>
      <c r="O341" s="112"/>
    </row>
    <row r="342" spans="3:15" x14ac:dyDescent="0.25">
      <c r="C342" s="125"/>
      <c r="D342" s="125"/>
      <c r="E342" s="125" t="s">
        <v>327</v>
      </c>
      <c r="F342" s="125"/>
      <c r="G342" s="112" t="str">
        <f>Currency</f>
        <v>US$'000</v>
      </c>
      <c r="H342" s="125"/>
      <c r="I342" s="125"/>
      <c r="J342" s="128"/>
      <c r="K342" s="128"/>
      <c r="L342" s="128"/>
      <c r="M342" s="128"/>
      <c r="N342" s="128"/>
      <c r="O342" s="112"/>
    </row>
    <row r="343" spans="3:15" x14ac:dyDescent="0.25">
      <c r="C343" s="125"/>
      <c r="D343" s="125"/>
      <c r="E343" s="125" t="s">
        <v>335</v>
      </c>
      <c r="F343" s="125"/>
      <c r="G343" s="112" t="str">
        <f>Currency</f>
        <v>US$'000</v>
      </c>
      <c r="H343" s="125"/>
      <c r="I343" s="126"/>
      <c r="J343" s="129"/>
      <c r="K343" s="129"/>
      <c r="L343" s="129"/>
      <c r="M343" s="129"/>
      <c r="N343" s="129"/>
      <c r="O343" s="112"/>
    </row>
    <row r="344" spans="3:15" x14ac:dyDescent="0.25">
      <c r="C344" s="125"/>
      <c r="D344" s="125"/>
      <c r="E344" s="125"/>
      <c r="F344" s="125"/>
      <c r="G344" s="112"/>
      <c r="H344" s="125"/>
      <c r="I344" s="125"/>
      <c r="J344" s="125"/>
      <c r="K344" s="125"/>
      <c r="L344" s="125"/>
      <c r="M344" s="125"/>
      <c r="N344" s="125"/>
      <c r="O344" s="112"/>
    </row>
    <row r="345" spans="3:15" x14ac:dyDescent="0.25">
      <c r="C345" s="125"/>
      <c r="D345" s="125"/>
      <c r="E345" s="125" t="s">
        <v>336</v>
      </c>
      <c r="F345" s="125"/>
      <c r="G345" s="112" t="str">
        <f>Currency</f>
        <v>US$'000</v>
      </c>
      <c r="H345" s="125"/>
      <c r="I345" s="125"/>
      <c r="J345" s="126"/>
      <c r="K345" s="126"/>
      <c r="L345" s="126"/>
      <c r="M345" s="126"/>
      <c r="N345" s="126"/>
      <c r="O345" s="112"/>
    </row>
    <row r="346" spans="3:15" x14ac:dyDescent="0.25">
      <c r="C346" s="125"/>
      <c r="D346" s="125"/>
      <c r="E346" s="125"/>
      <c r="F346" s="125"/>
      <c r="G346" s="112"/>
      <c r="H346" s="125"/>
      <c r="I346" s="125"/>
      <c r="J346" s="125"/>
      <c r="K346" s="125"/>
      <c r="L346" s="125"/>
      <c r="M346" s="125"/>
      <c r="N346" s="125"/>
      <c r="O346" s="112"/>
    </row>
    <row r="347" spans="3:15" x14ac:dyDescent="0.25">
      <c r="C347" s="125"/>
      <c r="D347" s="125"/>
      <c r="E347" s="125" t="s">
        <v>296</v>
      </c>
      <c r="F347" s="125"/>
      <c r="G347" s="112" t="str">
        <f>Percentage</f>
        <v>%</v>
      </c>
      <c r="H347" s="125"/>
      <c r="I347" s="125"/>
      <c r="J347" s="143"/>
      <c r="K347" s="143"/>
      <c r="L347" s="143"/>
      <c r="M347" s="143"/>
      <c r="N347" s="143"/>
      <c r="O347" s="112"/>
    </row>
    <row r="348" spans="3:15" x14ac:dyDescent="0.25">
      <c r="C348" s="125"/>
      <c r="D348" s="125"/>
      <c r="E348" s="125"/>
      <c r="F348" s="125"/>
      <c r="G348" s="112"/>
      <c r="H348" s="125"/>
      <c r="I348" s="125"/>
      <c r="J348" s="125"/>
      <c r="K348" s="125"/>
      <c r="L348" s="125"/>
      <c r="M348" s="125"/>
      <c r="N348" s="125"/>
      <c r="O348" s="112"/>
    </row>
    <row r="349" spans="3:15" x14ac:dyDescent="0.25">
      <c r="C349" s="125"/>
      <c r="D349" s="125"/>
      <c r="E349" s="125" t="s">
        <v>337</v>
      </c>
      <c r="F349" s="125"/>
      <c r="G349" s="112" t="str">
        <f>Currency</f>
        <v>US$'000</v>
      </c>
      <c r="H349" s="125"/>
      <c r="I349" s="125"/>
      <c r="J349" s="141"/>
      <c r="K349" s="141"/>
      <c r="L349" s="141"/>
      <c r="M349" s="141"/>
      <c r="N349" s="141"/>
      <c r="O349" s="112"/>
    </row>
    <row r="350" spans="3:15" x14ac:dyDescent="0.25">
      <c r="C350" s="125"/>
      <c r="D350" s="125"/>
      <c r="E350" s="125"/>
      <c r="F350" s="125"/>
      <c r="G350" s="112"/>
      <c r="H350" s="125"/>
      <c r="I350" s="125"/>
      <c r="J350" s="125"/>
      <c r="K350" s="125"/>
      <c r="L350" s="125"/>
      <c r="M350" s="125"/>
      <c r="N350" s="125"/>
      <c r="O350" s="112"/>
    </row>
    <row r="351" spans="3:15" x14ac:dyDescent="0.25">
      <c r="C351" s="125"/>
      <c r="D351" s="125"/>
      <c r="E351" s="125" t="s">
        <v>338</v>
      </c>
      <c r="F351" s="125"/>
      <c r="G351" s="112" t="str">
        <f>Currency</f>
        <v>US$'000</v>
      </c>
      <c r="H351" s="125"/>
      <c r="I351" s="128"/>
      <c r="J351" s="128"/>
      <c r="K351" s="128"/>
      <c r="L351" s="128"/>
      <c r="M351" s="128"/>
      <c r="N351" s="128"/>
      <c r="O351" s="112"/>
    </row>
    <row r="352" spans="3:15" x14ac:dyDescent="0.25">
      <c r="C352" s="125"/>
      <c r="D352" s="125"/>
      <c r="E352" s="125" t="s">
        <v>337</v>
      </c>
      <c r="F352" s="125"/>
      <c r="G352" s="112" t="str">
        <f>Currency</f>
        <v>US$'000</v>
      </c>
      <c r="H352" s="125"/>
      <c r="I352" s="128"/>
      <c r="J352" s="128"/>
      <c r="K352" s="128"/>
      <c r="L352" s="128"/>
      <c r="M352" s="128"/>
      <c r="N352" s="128"/>
      <c r="O352" s="112"/>
    </row>
    <row r="353" spans="3:15" x14ac:dyDescent="0.25">
      <c r="C353" s="125"/>
      <c r="D353" s="125"/>
      <c r="E353" s="125" t="s">
        <v>339</v>
      </c>
      <c r="F353" s="125"/>
      <c r="G353" s="112" t="str">
        <f>Currency</f>
        <v>US$'000</v>
      </c>
      <c r="H353" s="125"/>
      <c r="I353" s="128"/>
      <c r="J353" s="129"/>
      <c r="K353" s="129"/>
      <c r="L353" s="129"/>
      <c r="M353" s="129"/>
      <c r="N353" s="129"/>
      <c r="O353" s="158" t="s">
        <v>109</v>
      </c>
    </row>
    <row r="354" spans="3:15" x14ac:dyDescent="0.25">
      <c r="C354" s="125"/>
      <c r="D354" s="125"/>
      <c r="E354" s="125"/>
      <c r="F354" s="125"/>
      <c r="G354" s="112"/>
      <c r="H354" s="125"/>
      <c r="I354" s="125"/>
      <c r="J354" s="125"/>
      <c r="K354" s="125"/>
      <c r="L354" s="125"/>
      <c r="M354" s="125"/>
      <c r="N354" s="125"/>
      <c r="O354" s="158"/>
    </row>
    <row r="355" spans="3:15" ht="14" x14ac:dyDescent="0.3">
      <c r="C355" s="125"/>
      <c r="D355" s="5" t="s">
        <v>229</v>
      </c>
      <c r="E355" s="125"/>
      <c r="F355" s="125"/>
      <c r="G355" s="112"/>
      <c r="H355" s="125"/>
      <c r="I355" s="125"/>
      <c r="J355" s="125"/>
      <c r="K355" s="125"/>
      <c r="L355" s="125"/>
      <c r="M355" s="125"/>
      <c r="N355" s="125"/>
      <c r="O355" s="158"/>
    </row>
    <row r="356" spans="3:15" x14ac:dyDescent="0.25">
      <c r="C356" s="125"/>
      <c r="D356" s="125"/>
      <c r="E356" s="125"/>
      <c r="F356" s="125"/>
      <c r="G356" s="112"/>
      <c r="H356" s="125"/>
      <c r="I356" s="125"/>
      <c r="J356" s="125"/>
      <c r="K356" s="125"/>
      <c r="L356" s="125"/>
      <c r="M356" s="125"/>
      <c r="N356" s="125"/>
      <c r="O356" s="158"/>
    </row>
    <row r="357" spans="3:15" x14ac:dyDescent="0.25">
      <c r="C357" s="125"/>
      <c r="D357" s="125"/>
      <c r="E357" s="125" t="s">
        <v>330</v>
      </c>
      <c r="F357" s="125"/>
      <c r="G357" s="112" t="str">
        <f t="shared" ref="G357:G362" si="102">Currency</f>
        <v>US$'000</v>
      </c>
      <c r="H357" s="125"/>
      <c r="I357" s="125"/>
      <c r="J357" s="128"/>
      <c r="K357" s="128"/>
      <c r="L357" s="128"/>
      <c r="M357" s="128"/>
      <c r="N357" s="128"/>
      <c r="O357" s="158" t="s">
        <v>109</v>
      </c>
    </row>
    <row r="358" spans="3:15" x14ac:dyDescent="0.25">
      <c r="C358" s="125"/>
      <c r="D358" s="125"/>
      <c r="E358" s="125" t="s">
        <v>318</v>
      </c>
      <c r="F358" s="125"/>
      <c r="G358" s="112" t="str">
        <f t="shared" si="102"/>
        <v>US$'000</v>
      </c>
      <c r="H358" s="125"/>
      <c r="I358" s="125"/>
      <c r="J358" s="128"/>
      <c r="K358" s="128"/>
      <c r="L358" s="128"/>
      <c r="M358" s="128"/>
      <c r="N358" s="128"/>
      <c r="O358" s="158" t="s">
        <v>108</v>
      </c>
    </row>
    <row r="359" spans="3:15" x14ac:dyDescent="0.25">
      <c r="C359" s="125"/>
      <c r="D359" s="125"/>
      <c r="E359" s="125" t="s">
        <v>187</v>
      </c>
      <c r="F359" s="125"/>
      <c r="G359" s="112" t="str">
        <f t="shared" si="102"/>
        <v>US$'000</v>
      </c>
      <c r="H359" s="125"/>
      <c r="I359" s="125"/>
      <c r="J359" s="128"/>
      <c r="K359" s="128"/>
      <c r="L359" s="128"/>
      <c r="M359" s="128"/>
      <c r="N359" s="128"/>
      <c r="O359" s="158" t="s">
        <v>110</v>
      </c>
    </row>
    <row r="360" spans="3:15" ht="12" x14ac:dyDescent="0.3">
      <c r="C360" s="125"/>
      <c r="D360" s="125"/>
      <c r="E360" s="125" t="s">
        <v>337</v>
      </c>
      <c r="F360" s="125"/>
      <c r="G360" s="112" t="str">
        <f t="shared" si="102"/>
        <v>US$'000</v>
      </c>
      <c r="H360" s="125"/>
      <c r="I360" s="125"/>
      <c r="J360" s="128"/>
      <c r="K360" s="128"/>
      <c r="L360" s="128"/>
      <c r="M360" s="128"/>
      <c r="N360" s="128"/>
      <c r="O360" s="111"/>
    </row>
    <row r="361" spans="3:15" ht="12" x14ac:dyDescent="0.3">
      <c r="C361" s="125"/>
      <c r="D361" s="125"/>
      <c r="E361" s="125" t="s">
        <v>323</v>
      </c>
      <c r="F361" s="125"/>
      <c r="G361" s="112" t="str">
        <f t="shared" si="102"/>
        <v>US$'000</v>
      </c>
      <c r="H361" s="125"/>
      <c r="I361" s="125"/>
      <c r="J361" s="128"/>
      <c r="K361" s="128"/>
      <c r="L361" s="128"/>
      <c r="M361" s="128"/>
      <c r="N361" s="128"/>
      <c r="O361" s="111"/>
    </row>
    <row r="362" spans="3:15" x14ac:dyDescent="0.25">
      <c r="C362" s="125"/>
      <c r="D362" s="125"/>
      <c r="E362" s="125" t="s">
        <v>331</v>
      </c>
      <c r="F362" s="125"/>
      <c r="G362" s="112" t="str">
        <f t="shared" si="102"/>
        <v>US$'000</v>
      </c>
      <c r="H362" s="125"/>
      <c r="I362" s="128"/>
      <c r="J362" s="129"/>
      <c r="K362" s="129"/>
      <c r="L362" s="129"/>
      <c r="M362" s="129"/>
      <c r="N362" s="129"/>
      <c r="O362" s="158" t="s">
        <v>109</v>
      </c>
    </row>
  </sheetData>
  <conditionalFormatting sqref="F4">
    <cfRule type="cellIs" dxfId="21" priority="8" operator="notEqual">
      <formula>0</formula>
    </cfRule>
  </conditionalFormatting>
  <conditionalFormatting sqref="J148:N148">
    <cfRule type="cellIs" dxfId="20" priority="3" operator="equal">
      <formula>1</formula>
    </cfRule>
  </conditionalFormatting>
  <conditionalFormatting sqref="K150:N150">
    <cfRule type="expression" dxfId="19" priority="2">
      <formula>K148=1</formula>
    </cfRule>
  </conditionalFormatting>
  <conditionalFormatting sqref="K151:N151">
    <cfRule type="expression" dxfId="18" priority="1">
      <formula>K148=0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outlinePr summaryBelow="0"/>
    <pageSetUpPr fitToPage="1"/>
  </sheetPr>
  <dimension ref="A1:K58"/>
  <sheetViews>
    <sheetView zoomScaleNormal="100" workbookViewId="0">
      <pane ySplit="9" topLeftCell="A16" activePane="bottomLeft" state="frozen"/>
      <selection activeCell="D42" sqref="D42"/>
      <selection pane="bottomLeft" activeCell="I16" sqref="I16"/>
    </sheetView>
  </sheetViews>
  <sheetFormatPr defaultColWidth="9.09765625" defaultRowHeight="11.5" x14ac:dyDescent="0.25"/>
  <cols>
    <col min="1" max="4" width="3.69921875" style="68" customWidth="1"/>
    <col min="5" max="5" width="21.09765625" style="68" customWidth="1"/>
    <col min="6" max="6" width="9.09765625" style="68"/>
    <col min="7" max="7" width="12.69921875" style="68" customWidth="1"/>
    <col min="8" max="8" width="2" style="68" customWidth="1"/>
    <col min="9" max="9" width="10.69921875" style="68" customWidth="1"/>
    <col min="10" max="16384" width="9.09765625" style="68"/>
  </cols>
  <sheetData>
    <row r="1" spans="1:11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Opening Balance Sheet</v>
      </c>
      <c r="I1" s="61"/>
    </row>
    <row r="2" spans="1:11" ht="17.5" x14ac:dyDescent="0.35">
      <c r="A2" s="49" t="str">
        <f ca="1">Model_Name</f>
        <v>Go Skills Model 47 - Taxation Part 4 Start.xlsm</v>
      </c>
    </row>
    <row r="3" spans="1:11" x14ac:dyDescent="0.25">
      <c r="A3" s="147" t="s">
        <v>1</v>
      </c>
      <c r="B3" s="61"/>
      <c r="C3" s="61"/>
      <c r="D3" s="61"/>
      <c r="E3" s="61"/>
    </row>
    <row r="4" spans="1:11" ht="14" x14ac:dyDescent="0.3">
      <c r="B4" s="68" t="s">
        <v>2</v>
      </c>
      <c r="F4" s="1">
        <f ca="1">Overall_Error_Check</f>
        <v>0</v>
      </c>
    </row>
    <row r="5" spans="1:11" x14ac:dyDescent="0.25">
      <c r="I5" s="70"/>
      <c r="K5" s="70">
        <f>Model_Start_Date-1</f>
        <v>43646</v>
      </c>
    </row>
    <row r="6" spans="1:11" ht="12" x14ac:dyDescent="0.3">
      <c r="C6" s="68" t="s">
        <v>68</v>
      </c>
      <c r="I6" s="81"/>
      <c r="K6" s="81"/>
    </row>
    <row r="7" spans="1:11" ht="12" x14ac:dyDescent="0.3">
      <c r="C7" s="68" t="s">
        <v>69</v>
      </c>
      <c r="I7" s="81"/>
      <c r="K7" s="81"/>
    </row>
    <row r="8" spans="1:11" ht="12" x14ac:dyDescent="0.3">
      <c r="C8" s="68" t="s">
        <v>71</v>
      </c>
      <c r="I8" s="28"/>
      <c r="K8" s="28"/>
    </row>
    <row r="9" spans="1:11" ht="12" x14ac:dyDescent="0.3">
      <c r="C9" s="68" t="s">
        <v>70</v>
      </c>
      <c r="I9" s="28"/>
      <c r="K9" s="28"/>
    </row>
    <row r="11" spans="1:11" ht="16" thickBot="1" x14ac:dyDescent="0.4">
      <c r="B11" s="50">
        <f>MAX($B$10:$B10)+1</f>
        <v>1</v>
      </c>
      <c r="C11" s="44" t="str">
        <f ca="1">A1</f>
        <v>Opening Balance Sheet</v>
      </c>
      <c r="D11" s="3"/>
      <c r="E11" s="3"/>
      <c r="F11" s="3"/>
      <c r="G11" s="3"/>
      <c r="H11" s="3"/>
      <c r="I11" s="3"/>
      <c r="J11" s="3"/>
      <c r="K11" s="3"/>
    </row>
    <row r="12" spans="1:11" ht="12" thickTop="1" x14ac:dyDescent="0.25"/>
    <row r="13" spans="1:11" ht="14" x14ac:dyDescent="0.3">
      <c r="C13" s="5" t="s">
        <v>155</v>
      </c>
    </row>
    <row r="14" spans="1:11" x14ac:dyDescent="0.25">
      <c r="D14" s="68" t="s">
        <v>156</v>
      </c>
      <c r="G14" s="37" t="str">
        <f>Currency</f>
        <v>US$'000</v>
      </c>
      <c r="I14" s="80"/>
      <c r="K14" s="80">
        <v>250</v>
      </c>
    </row>
    <row r="15" spans="1:11" x14ac:dyDescent="0.25">
      <c r="D15" s="68" t="s">
        <v>157</v>
      </c>
      <c r="G15" s="37" t="str">
        <f>Currency</f>
        <v>US$'000</v>
      </c>
      <c r="I15" s="82"/>
      <c r="K15" s="82">
        <v>50</v>
      </c>
    </row>
    <row r="16" spans="1:11" x14ac:dyDescent="0.25">
      <c r="D16" s="68" t="s">
        <v>158</v>
      </c>
      <c r="G16" s="37" t="str">
        <f>Currency</f>
        <v>US$'000</v>
      </c>
      <c r="I16" s="80"/>
      <c r="K16" s="80">
        <v>0</v>
      </c>
    </row>
    <row r="17" spans="3:11" x14ac:dyDescent="0.25">
      <c r="D17" s="68" t="s">
        <v>159</v>
      </c>
      <c r="G17" s="37" t="str">
        <f>Currency</f>
        <v>US$'000</v>
      </c>
      <c r="I17" s="80"/>
      <c r="K17" s="80">
        <v>10</v>
      </c>
    </row>
    <row r="18" spans="3:11" x14ac:dyDescent="0.25">
      <c r="D18" s="71" t="s">
        <v>202</v>
      </c>
      <c r="G18" s="37" t="str">
        <f>Currency</f>
        <v>US$'000</v>
      </c>
      <c r="I18" s="76"/>
      <c r="K18" s="76">
        <f>SUM(K14:K17)</f>
        <v>310</v>
      </c>
    </row>
    <row r="19" spans="3:11" x14ac:dyDescent="0.25">
      <c r="G19" s="37"/>
    </row>
    <row r="20" spans="3:11" ht="14" x14ac:dyDescent="0.3">
      <c r="C20" s="5" t="s">
        <v>160</v>
      </c>
      <c r="G20" s="37"/>
    </row>
    <row r="21" spans="3:11" x14ac:dyDescent="0.25">
      <c r="D21" s="68" t="s">
        <v>161</v>
      </c>
      <c r="G21" s="37" t="str">
        <f>Currency</f>
        <v>US$'000</v>
      </c>
      <c r="I21" s="80"/>
      <c r="K21" s="80">
        <v>450</v>
      </c>
    </row>
    <row r="22" spans="3:11" x14ac:dyDescent="0.25">
      <c r="D22" s="68" t="s">
        <v>162</v>
      </c>
      <c r="G22" s="37" t="str">
        <f>Currency</f>
        <v>US$'000</v>
      </c>
      <c r="I22" s="80"/>
      <c r="K22" s="80">
        <v>75</v>
      </c>
    </row>
    <row r="23" spans="3:11" x14ac:dyDescent="0.25">
      <c r="D23" s="71" t="s">
        <v>203</v>
      </c>
      <c r="G23" s="37" t="str">
        <f>Currency</f>
        <v>US$'000</v>
      </c>
      <c r="I23" s="76"/>
      <c r="K23" s="76">
        <f>SUM(K21:K22)</f>
        <v>525</v>
      </c>
    </row>
    <row r="24" spans="3:11" x14ac:dyDescent="0.25">
      <c r="G24" s="37"/>
    </row>
    <row r="25" spans="3:11" ht="14" x14ac:dyDescent="0.3">
      <c r="C25" s="5" t="s">
        <v>163</v>
      </c>
      <c r="G25" s="37" t="str">
        <f>Currency</f>
        <v>US$'000</v>
      </c>
      <c r="I25" s="76"/>
      <c r="K25" s="76">
        <f>K18+K23</f>
        <v>835</v>
      </c>
    </row>
    <row r="26" spans="3:11" x14ac:dyDescent="0.25">
      <c r="G26" s="37"/>
    </row>
    <row r="27" spans="3:11" ht="14" x14ac:dyDescent="0.3">
      <c r="C27" s="5" t="s">
        <v>164</v>
      </c>
      <c r="G27" s="37"/>
    </row>
    <row r="28" spans="3:11" x14ac:dyDescent="0.25">
      <c r="D28" s="68" t="s">
        <v>165</v>
      </c>
      <c r="G28" s="37" t="str">
        <f t="shared" ref="G28:G33" si="0">Currency</f>
        <v>US$'000</v>
      </c>
      <c r="I28" s="80"/>
      <c r="K28" s="80">
        <v>30</v>
      </c>
    </row>
    <row r="29" spans="3:11" x14ac:dyDescent="0.25">
      <c r="D29" s="68" t="s">
        <v>166</v>
      </c>
      <c r="G29" s="37" t="str">
        <f t="shared" si="0"/>
        <v>US$'000</v>
      </c>
      <c r="I29" s="80"/>
      <c r="K29" s="80">
        <v>20</v>
      </c>
    </row>
    <row r="30" spans="3:11" x14ac:dyDescent="0.25">
      <c r="D30" s="68" t="s">
        <v>167</v>
      </c>
      <c r="G30" s="37" t="str">
        <f t="shared" si="0"/>
        <v>US$'000</v>
      </c>
      <c r="I30" s="80"/>
      <c r="K30" s="80">
        <v>15</v>
      </c>
    </row>
    <row r="31" spans="3:11" x14ac:dyDescent="0.25">
      <c r="D31" s="68" t="s">
        <v>168</v>
      </c>
      <c r="G31" s="37" t="str">
        <f t="shared" si="0"/>
        <v>US$'000</v>
      </c>
      <c r="I31" s="80"/>
      <c r="K31" s="80">
        <v>40</v>
      </c>
    </row>
    <row r="32" spans="3:11" x14ac:dyDescent="0.25">
      <c r="D32" s="68" t="s">
        <v>169</v>
      </c>
      <c r="G32" s="37" t="str">
        <f t="shared" si="0"/>
        <v>US$'000</v>
      </c>
      <c r="I32" s="80"/>
      <c r="K32" s="80">
        <v>10</v>
      </c>
    </row>
    <row r="33" spans="3:11" x14ac:dyDescent="0.25">
      <c r="D33" s="71" t="s">
        <v>204</v>
      </c>
      <c r="G33" s="37" t="str">
        <f t="shared" si="0"/>
        <v>US$'000</v>
      </c>
      <c r="I33" s="76"/>
      <c r="K33" s="76">
        <f>SUM(K28:K32)</f>
        <v>115</v>
      </c>
    </row>
    <row r="34" spans="3:11" x14ac:dyDescent="0.25">
      <c r="G34" s="37"/>
    </row>
    <row r="35" spans="3:11" ht="14" x14ac:dyDescent="0.3">
      <c r="C35" s="5" t="s">
        <v>170</v>
      </c>
      <c r="G35" s="37"/>
    </row>
    <row r="36" spans="3:11" x14ac:dyDescent="0.25">
      <c r="D36" s="68" t="s">
        <v>171</v>
      </c>
      <c r="G36" s="37" t="str">
        <f>Currency</f>
        <v>US$'000</v>
      </c>
      <c r="I36" s="80"/>
      <c r="K36" s="80">
        <v>150</v>
      </c>
    </row>
    <row r="37" spans="3:11" x14ac:dyDescent="0.25">
      <c r="D37" s="68" t="s">
        <v>172</v>
      </c>
      <c r="G37" s="37" t="str">
        <f>Currency</f>
        <v>US$'000</v>
      </c>
      <c r="I37" s="80"/>
      <c r="K37" s="80">
        <v>25</v>
      </c>
    </row>
    <row r="38" spans="3:11" x14ac:dyDescent="0.25">
      <c r="D38" s="71" t="s">
        <v>205</v>
      </c>
      <c r="G38" s="37" t="str">
        <f>Currency</f>
        <v>US$'000</v>
      </c>
      <c r="I38" s="76"/>
      <c r="K38" s="76">
        <f>SUM(K36:K37)</f>
        <v>175</v>
      </c>
    </row>
    <row r="39" spans="3:11" x14ac:dyDescent="0.25">
      <c r="G39" s="37"/>
    </row>
    <row r="40" spans="3:11" ht="14" x14ac:dyDescent="0.3">
      <c r="C40" s="5" t="s">
        <v>173</v>
      </c>
      <c r="G40" s="37" t="str">
        <f>Currency</f>
        <v>US$'000</v>
      </c>
      <c r="I40" s="76"/>
      <c r="K40" s="76">
        <f>K33+K38</f>
        <v>290</v>
      </c>
    </row>
    <row r="41" spans="3:11" x14ac:dyDescent="0.25">
      <c r="G41" s="37"/>
    </row>
    <row r="42" spans="3:11" ht="14.5" thickBot="1" x14ac:dyDescent="0.35">
      <c r="C42" s="5" t="s">
        <v>174</v>
      </c>
      <c r="G42" s="37" t="str">
        <f>Currency</f>
        <v>US$'000</v>
      </c>
      <c r="I42" s="77"/>
      <c r="K42" s="77">
        <f>K25-K40</f>
        <v>545</v>
      </c>
    </row>
    <row r="43" spans="3:11" ht="12" thickTop="1" x14ac:dyDescent="0.25">
      <c r="G43" s="37"/>
      <c r="I43" s="75"/>
      <c r="K43" s="75"/>
    </row>
    <row r="44" spans="3:11" x14ac:dyDescent="0.25">
      <c r="G44" s="37"/>
    </row>
    <row r="45" spans="3:11" ht="14" x14ac:dyDescent="0.3">
      <c r="C45" s="5" t="s">
        <v>175</v>
      </c>
      <c r="G45" s="37"/>
    </row>
    <row r="46" spans="3:11" x14ac:dyDescent="0.25">
      <c r="D46" s="68" t="s">
        <v>176</v>
      </c>
      <c r="G46" s="37" t="str">
        <f t="shared" ref="G46:G51" si="1">Currency</f>
        <v>US$'000</v>
      </c>
      <c r="I46" s="80"/>
      <c r="K46" s="80">
        <v>300</v>
      </c>
    </row>
    <row r="47" spans="3:11" x14ac:dyDescent="0.25">
      <c r="E47" s="68" t="s">
        <v>179</v>
      </c>
      <c r="G47" s="37" t="str">
        <f t="shared" si="1"/>
        <v>US$'000</v>
      </c>
      <c r="I47" s="74"/>
      <c r="K47" s="74">
        <f>K42-SUM(K46,K48,K49)</f>
        <v>220</v>
      </c>
    </row>
    <row r="48" spans="3:11" x14ac:dyDescent="0.25">
      <c r="E48" s="68" t="s">
        <v>154</v>
      </c>
      <c r="G48" s="37" t="str">
        <f t="shared" si="1"/>
        <v>US$'000</v>
      </c>
      <c r="I48" s="80"/>
      <c r="K48" s="80">
        <v>25</v>
      </c>
    </row>
    <row r="49" spans="3:11" x14ac:dyDescent="0.25">
      <c r="E49" s="68" t="s">
        <v>177</v>
      </c>
      <c r="G49" s="37" t="str">
        <f t="shared" si="1"/>
        <v>US$'000</v>
      </c>
      <c r="I49" s="80"/>
      <c r="K49" s="80">
        <v>0</v>
      </c>
    </row>
    <row r="50" spans="3:11" x14ac:dyDescent="0.25">
      <c r="D50" s="68" t="s">
        <v>178</v>
      </c>
      <c r="G50" s="37" t="str">
        <f t="shared" si="1"/>
        <v>US$'000</v>
      </c>
      <c r="I50" s="76"/>
      <c r="K50" s="76">
        <f>SUM(K47:K49)</f>
        <v>245</v>
      </c>
    </row>
    <row r="51" spans="3:11" ht="14.5" thickBot="1" x14ac:dyDescent="0.35">
      <c r="C51" s="5"/>
      <c r="D51" s="71" t="s">
        <v>201</v>
      </c>
      <c r="G51" s="37" t="str">
        <f t="shared" si="1"/>
        <v>US$'000</v>
      </c>
      <c r="I51" s="77"/>
      <c r="K51" s="77">
        <f>K46+K50</f>
        <v>545</v>
      </c>
    </row>
    <row r="52" spans="3:11" ht="12" thickTop="1" x14ac:dyDescent="0.25">
      <c r="K52" s="23"/>
    </row>
    <row r="53" spans="3:11" x14ac:dyDescent="0.25">
      <c r="K53" s="23"/>
    </row>
    <row r="54" spans="3:11" ht="14" x14ac:dyDescent="0.3">
      <c r="C54" s="5" t="str">
        <f>'Balance Sheet'!C54</f>
        <v>Checks</v>
      </c>
      <c r="G54" s="37"/>
      <c r="K54" s="23"/>
    </row>
    <row r="55" spans="3:11" x14ac:dyDescent="0.25">
      <c r="G55" s="37"/>
    </row>
    <row r="56" spans="3:11" ht="12.5" x14ac:dyDescent="0.25">
      <c r="D56" s="68" t="str">
        <f>'Balance Sheet'!D56</f>
        <v>PF error check</v>
      </c>
      <c r="G56" s="37" t="s">
        <v>103</v>
      </c>
      <c r="I56" s="83">
        <f>IF(ISERROR(I42-I51),1,0)</f>
        <v>0</v>
      </c>
    </row>
    <row r="57" spans="3:11" ht="12.5" x14ac:dyDescent="0.25">
      <c r="D57" s="68" t="str">
        <f>'Balance Sheet'!D57</f>
        <v>Balance check</v>
      </c>
      <c r="G57" s="37" t="s">
        <v>103</v>
      </c>
      <c r="I57" s="83">
        <f>IF(I56&lt;&gt;0,0,(ROUND(I42-I51,Rounding_Accuracy)&lt;&gt;0)*1)</f>
        <v>0</v>
      </c>
    </row>
    <row r="58" spans="3:11" ht="12.5" x14ac:dyDescent="0.25">
      <c r="D58" s="68" t="str">
        <f>'Balance Sheet'!D58</f>
        <v>Insolvency check</v>
      </c>
      <c r="G58" s="37" t="s">
        <v>103</v>
      </c>
      <c r="I58" s="83">
        <f>IF(SUM(I56:I57)&lt;&gt;0,0,(I42&lt;0)*1)</f>
        <v>0</v>
      </c>
    </row>
  </sheetData>
  <conditionalFormatting sqref="F4">
    <cfRule type="cellIs" dxfId="17" priority="2" operator="notEqual">
      <formula>0</formula>
    </cfRule>
  </conditionalFormatting>
  <conditionalFormatting sqref="I56:I58">
    <cfRule type="cellIs" dxfId="16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/>
    <pageSetUpPr fitToPage="1"/>
  </sheetPr>
  <dimension ref="A1:O29"/>
  <sheetViews>
    <sheetView zoomScaleNormal="100" workbookViewId="0">
      <pane ySplit="9" topLeftCell="A10" activePane="bottomLeft" state="frozen"/>
      <selection activeCell="D42" sqref="D42"/>
      <selection pane="bottomLeft" activeCell="J24" sqref="J24:N24"/>
    </sheetView>
  </sheetViews>
  <sheetFormatPr defaultColWidth="9.09765625" defaultRowHeight="11.5" x14ac:dyDescent="0.25"/>
  <cols>
    <col min="1" max="3" width="3.69921875" style="68" customWidth="1"/>
    <col min="4" max="4" width="24.296875" style="68" customWidth="1"/>
    <col min="5" max="5" width="3.69921875" style="68" customWidth="1"/>
    <col min="6" max="6" width="9.09765625" style="68"/>
    <col min="7" max="7" width="12.69921875" style="68" customWidth="1"/>
    <col min="8" max="8" width="10.69921875" style="68" customWidth="1"/>
    <col min="9" max="9" width="9.09765625" style="68"/>
    <col min="10" max="14" width="10.69921875" style="68" customWidth="1"/>
    <col min="15" max="16384" width="9.09765625" style="68"/>
  </cols>
  <sheetData>
    <row r="1" spans="1:15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Income Statement</v>
      </c>
      <c r="I1" s="61"/>
      <c r="J1" s="61"/>
    </row>
    <row r="2" spans="1:15" ht="17.5" x14ac:dyDescent="0.35">
      <c r="A2" s="49" t="str">
        <f ca="1">Model_Name</f>
        <v>Go Skills Model 47 - Taxation Part 4 Start.xlsm</v>
      </c>
    </row>
    <row r="3" spans="1:15" x14ac:dyDescent="0.25">
      <c r="A3" s="147" t="s">
        <v>1</v>
      </c>
      <c r="B3" s="61"/>
      <c r="C3" s="61"/>
      <c r="D3" s="61"/>
      <c r="E3" s="61"/>
    </row>
    <row r="4" spans="1:15" ht="14" x14ac:dyDescent="0.3">
      <c r="B4" s="68" t="s">
        <v>2</v>
      </c>
      <c r="F4" s="1">
        <f ca="1">Overall_Error_Check</f>
        <v>0</v>
      </c>
    </row>
    <row r="5" spans="1:15" x14ac:dyDescent="0.25">
      <c r="J5" s="70">
        <f>Timing!J5</f>
        <v>44012</v>
      </c>
      <c r="K5" s="70">
        <f>Timing!K5</f>
        <v>44377</v>
      </c>
      <c r="L5" s="70">
        <f>Timing!L5</f>
        <v>44742</v>
      </c>
      <c r="M5" s="70">
        <f>Timing!M5</f>
        <v>45107</v>
      </c>
      <c r="N5" s="70">
        <f>Timing!N5</f>
        <v>45473</v>
      </c>
    </row>
    <row r="6" spans="1:15" x14ac:dyDescent="0.25">
      <c r="C6" s="68" t="s">
        <v>68</v>
      </c>
      <c r="J6" s="42">
        <f>Timing!J6</f>
        <v>43647</v>
      </c>
      <c r="K6" s="42">
        <f>Timing!K6</f>
        <v>44013</v>
      </c>
      <c r="L6" s="42">
        <f>Timing!L6</f>
        <v>44378</v>
      </c>
      <c r="M6" s="42">
        <f>Timing!M6</f>
        <v>44743</v>
      </c>
      <c r="N6" s="42">
        <f>Timing!N6</f>
        <v>45108</v>
      </c>
    </row>
    <row r="7" spans="1:15" x14ac:dyDescent="0.25">
      <c r="C7" s="68" t="s">
        <v>69</v>
      </c>
      <c r="J7" s="42">
        <f>Timing!J7</f>
        <v>44012</v>
      </c>
      <c r="K7" s="42">
        <f>Timing!K7</f>
        <v>44377</v>
      </c>
      <c r="L7" s="42">
        <f>Timing!L7</f>
        <v>44742</v>
      </c>
      <c r="M7" s="42">
        <f>Timing!M7</f>
        <v>45107</v>
      </c>
      <c r="N7" s="42">
        <f>Timing!N7</f>
        <v>45473</v>
      </c>
    </row>
    <row r="8" spans="1:15" x14ac:dyDescent="0.25">
      <c r="C8" s="68" t="s">
        <v>71</v>
      </c>
      <c r="J8" s="68">
        <f>Timing!J8</f>
        <v>366</v>
      </c>
      <c r="K8" s="68">
        <f>Timing!K8</f>
        <v>365</v>
      </c>
      <c r="L8" s="68">
        <f>Timing!L8</f>
        <v>365</v>
      </c>
      <c r="M8" s="68">
        <f>Timing!M8</f>
        <v>365</v>
      </c>
      <c r="N8" s="68">
        <f>Timing!N8</f>
        <v>366</v>
      </c>
    </row>
    <row r="9" spans="1:15" x14ac:dyDescent="0.25">
      <c r="C9" s="68" t="s">
        <v>70</v>
      </c>
      <c r="J9" s="68">
        <f>Timing!J9</f>
        <v>1</v>
      </c>
      <c r="K9" s="68">
        <f>Timing!K9</f>
        <v>2</v>
      </c>
      <c r="L9" s="68">
        <f>Timing!L9</f>
        <v>3</v>
      </c>
      <c r="M9" s="68">
        <f>Timing!M9</f>
        <v>4</v>
      </c>
      <c r="N9" s="68">
        <f>Timing!N9</f>
        <v>5</v>
      </c>
    </row>
    <row r="11" spans="1:15" ht="16" thickBot="1" x14ac:dyDescent="0.4">
      <c r="B11" s="50">
        <f>MAX($B$10:$B10)+1</f>
        <v>1</v>
      </c>
      <c r="C11" s="44" t="str">
        <f ca="1">A1</f>
        <v>Income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" thickTop="1" x14ac:dyDescent="0.25"/>
    <row r="13" spans="1:15" x14ac:dyDescent="0.25">
      <c r="D13" s="68" t="s">
        <v>143</v>
      </c>
      <c r="G13" s="37" t="str">
        <f>Currency</f>
        <v>US$'000</v>
      </c>
      <c r="J13" s="39">
        <f>Calculations!J36</f>
        <v>1500</v>
      </c>
      <c r="K13" s="39">
        <f>Calculations!K36</f>
        <v>3090</v>
      </c>
      <c r="L13" s="39">
        <f>Calculations!L36</f>
        <v>4820.4000000000005</v>
      </c>
      <c r="M13" s="39">
        <f>Calculations!M36</f>
        <v>6748.56</v>
      </c>
      <c r="N13" s="39">
        <f>Calculations!N36</f>
        <v>8941.8420000000006</v>
      </c>
    </row>
    <row r="14" spans="1:15" x14ac:dyDescent="0.25">
      <c r="D14" s="68" t="s">
        <v>144</v>
      </c>
      <c r="G14" s="37" t="str">
        <f>Currency</f>
        <v>US$'000</v>
      </c>
      <c r="J14" s="39">
        <f>-Calculations!J62+Calculations!J137</f>
        <v>-1248</v>
      </c>
      <c r="K14" s="39">
        <f>-Calculations!K62+Calculations!K137</f>
        <v>-2766.1372549019607</v>
      </c>
      <c r="L14" s="39">
        <f>-Calculations!L62+Calculations!L137</f>
        <v>-3807.6227691618669</v>
      </c>
      <c r="M14" s="39">
        <f>-Calculations!M62+Calculations!M137</f>
        <v>-5292.5070008639059</v>
      </c>
      <c r="N14" s="39">
        <f>-Calculations!N62+Calculations!N137</f>
        <v>-7658.7572502902312</v>
      </c>
    </row>
    <row r="15" spans="1:15" x14ac:dyDescent="0.25">
      <c r="D15" s="71" t="s">
        <v>145</v>
      </c>
      <c r="G15" s="37" t="str">
        <f>Currency</f>
        <v>US$'000</v>
      </c>
      <c r="J15" s="72">
        <f>SUM(J13:J14)</f>
        <v>252</v>
      </c>
      <c r="K15" s="72">
        <f t="shared" ref="K15:N15" si="0">SUM(K13:K14)</f>
        <v>323.86274509803934</v>
      </c>
      <c r="L15" s="72">
        <f t="shared" si="0"/>
        <v>1012.7772308381336</v>
      </c>
      <c r="M15" s="72">
        <f t="shared" si="0"/>
        <v>1456.0529991360945</v>
      </c>
      <c r="N15" s="72">
        <f t="shared" si="0"/>
        <v>1283.0847497097693</v>
      </c>
    </row>
    <row r="16" spans="1:15" x14ac:dyDescent="0.25">
      <c r="J16" s="39"/>
      <c r="K16" s="39"/>
      <c r="L16" s="39"/>
      <c r="M16" s="39"/>
      <c r="N16" s="39"/>
    </row>
    <row r="17" spans="4:14" x14ac:dyDescent="0.25">
      <c r="D17" s="68" t="s">
        <v>146</v>
      </c>
      <c r="G17" s="37" t="str">
        <f>Currency</f>
        <v>US$'000</v>
      </c>
      <c r="J17" s="39">
        <f>Calculations!J138</f>
        <v>-23.94</v>
      </c>
      <c r="K17" s="39">
        <f>Calculations!K138</f>
        <v>-52.32345490196078</v>
      </c>
      <c r="L17" s="39">
        <f>Calculations!L138</f>
        <v>-22.24693042068423</v>
      </c>
      <c r="M17" s="39">
        <f>Calculations!M138</f>
        <v>-1.1016058974962153</v>
      </c>
      <c r="N17" s="39">
        <f>Calculations!N138</f>
        <v>-1.3285433356189513</v>
      </c>
    </row>
    <row r="18" spans="4:14" x14ac:dyDescent="0.25">
      <c r="D18" s="68" t="s">
        <v>147</v>
      </c>
      <c r="G18" s="37" t="str">
        <f>Currency</f>
        <v>US$'000</v>
      </c>
      <c r="J18" s="39">
        <f>-Calculations!J166</f>
        <v>-60</v>
      </c>
      <c r="K18" s="39">
        <f>-Calculations!K166</f>
        <v>-65</v>
      </c>
      <c r="L18" s="39">
        <f>-Calculations!L166</f>
        <v>-70</v>
      </c>
      <c r="M18" s="39">
        <f>-Calculations!M166</f>
        <v>-72.100000000000009</v>
      </c>
      <c r="N18" s="39">
        <f>-Calculations!N166</f>
        <v>-73.542000000000016</v>
      </c>
    </row>
    <row r="19" spans="4:14" x14ac:dyDescent="0.25">
      <c r="D19" s="71" t="s">
        <v>148</v>
      </c>
      <c r="G19" s="37" t="str">
        <f>Currency</f>
        <v>US$'000</v>
      </c>
      <c r="J19" s="72">
        <f>SUM(J15,J17:J18)</f>
        <v>168.06</v>
      </c>
      <c r="K19" s="72">
        <f t="shared" ref="K19:N19" si="1">SUM(K15,K17:K18)</f>
        <v>206.53929019607858</v>
      </c>
      <c r="L19" s="72">
        <f t="shared" si="1"/>
        <v>920.53030041744944</v>
      </c>
      <c r="M19" s="72">
        <f t="shared" si="1"/>
        <v>1382.8513932385983</v>
      </c>
      <c r="N19" s="72">
        <f t="shared" si="1"/>
        <v>1208.2142063741505</v>
      </c>
    </row>
    <row r="20" spans="4:14" x14ac:dyDescent="0.25">
      <c r="J20" s="39"/>
      <c r="K20" s="39"/>
      <c r="L20" s="39"/>
      <c r="M20" s="39"/>
      <c r="N20" s="39"/>
    </row>
    <row r="21" spans="4:14" x14ac:dyDescent="0.25">
      <c r="D21" s="68" t="s">
        <v>149</v>
      </c>
      <c r="G21" s="37" t="str">
        <f>Currency</f>
        <v>US$'000</v>
      </c>
      <c r="J21" s="39">
        <f ca="1">Calculations!J199</f>
        <v>-37.5</v>
      </c>
      <c r="K21" s="39">
        <f ca="1">Calculations!K199</f>
        <v>-82.5</v>
      </c>
      <c r="L21" s="39">
        <f ca="1">Calculations!L199</f>
        <v>-112.5</v>
      </c>
      <c r="M21" s="39">
        <f ca="1">Calculations!M199</f>
        <v>-135</v>
      </c>
      <c r="N21" s="39">
        <f ca="1">Calculations!N199</f>
        <v>-122.5</v>
      </c>
    </row>
    <row r="22" spans="4:14" x14ac:dyDescent="0.25">
      <c r="D22" s="71" t="s">
        <v>150</v>
      </c>
      <c r="G22" s="37" t="str">
        <f>Currency</f>
        <v>US$'000</v>
      </c>
      <c r="J22" s="72">
        <f ca="1">J19+J21</f>
        <v>130.56</v>
      </c>
      <c r="K22" s="72">
        <f t="shared" ref="K22:N22" ca="1" si="2">K19+K21</f>
        <v>124.03929019607858</v>
      </c>
      <c r="L22" s="72">
        <f t="shared" ca="1" si="2"/>
        <v>808.03030041744944</v>
      </c>
      <c r="M22" s="72">
        <f t="shared" ca="1" si="2"/>
        <v>1247.8513932385983</v>
      </c>
      <c r="N22" s="72">
        <f t="shared" ca="1" si="2"/>
        <v>1085.7142063741505</v>
      </c>
    </row>
    <row r="23" spans="4:14" x14ac:dyDescent="0.25">
      <c r="J23" s="39"/>
      <c r="K23" s="39"/>
      <c r="L23" s="39"/>
      <c r="M23" s="39"/>
      <c r="N23" s="39"/>
    </row>
    <row r="24" spans="4:14" x14ac:dyDescent="0.25">
      <c r="D24" s="68" t="s">
        <v>151</v>
      </c>
      <c r="G24" s="37" t="str">
        <f>Currency</f>
        <v>US$'000</v>
      </c>
      <c r="J24" s="39">
        <f>-Calculations!J234+Calculations!J254</f>
        <v>-2.6005938818652163</v>
      </c>
      <c r="K24" s="39">
        <f>-Calculations!K234+Calculations!K254</f>
        <v>-14.856046448894958</v>
      </c>
      <c r="L24" s="39">
        <f>-Calculations!L234+Calculations!L254</f>
        <v>-20.892035597657031</v>
      </c>
      <c r="M24" s="39">
        <f>-Calculations!M234+Calculations!M254</f>
        <v>-0.33106059484159966</v>
      </c>
      <c r="N24" s="39">
        <f>-Calculations!N234+Calculations!N254</f>
        <v>19.601491384027248</v>
      </c>
    </row>
    <row r="25" spans="4:14" x14ac:dyDescent="0.25">
      <c r="D25" s="71" t="s">
        <v>152</v>
      </c>
      <c r="G25" s="37" t="str">
        <f>Currency</f>
        <v>US$'000</v>
      </c>
      <c r="J25" s="72">
        <f ca="1">J22+J24</f>
        <v>127.95940611813478</v>
      </c>
      <c r="K25" s="72">
        <f t="shared" ref="K25" ca="1" si="3">K22+K24</f>
        <v>109.18324374718362</v>
      </c>
      <c r="L25" s="72">
        <f t="shared" ref="L25" ca="1" si="4">L22+L24</f>
        <v>787.13826481979243</v>
      </c>
      <c r="M25" s="72">
        <f t="shared" ref="M25" ca="1" si="5">M22+M24</f>
        <v>1247.5203326437568</v>
      </c>
      <c r="N25" s="72">
        <f t="shared" ref="N25" ca="1" si="6">N22+N24</f>
        <v>1105.3156977581777</v>
      </c>
    </row>
    <row r="26" spans="4:14" x14ac:dyDescent="0.25">
      <c r="J26" s="39"/>
      <c r="K26" s="39"/>
      <c r="L26" s="39"/>
      <c r="M26" s="39"/>
      <c r="N26" s="39"/>
    </row>
    <row r="27" spans="4:14" x14ac:dyDescent="0.25">
      <c r="D27" s="68" t="s">
        <v>153</v>
      </c>
      <c r="G27" s="37" t="str">
        <f>Currency</f>
        <v>US$'000</v>
      </c>
      <c r="J27" s="39"/>
      <c r="K27" s="39"/>
      <c r="L27" s="39"/>
      <c r="M27" s="39"/>
      <c r="N27" s="39"/>
    </row>
    <row r="28" spans="4:14" ht="12" thickBot="1" x14ac:dyDescent="0.3">
      <c r="D28" s="71" t="s">
        <v>154</v>
      </c>
      <c r="G28" s="37" t="str">
        <f>Currency</f>
        <v>US$'000</v>
      </c>
      <c r="J28" s="73">
        <f ca="1">J25+J27</f>
        <v>127.95940611813478</v>
      </c>
      <c r="K28" s="73">
        <f t="shared" ref="K28" ca="1" si="7">K25+K27</f>
        <v>109.18324374718362</v>
      </c>
      <c r="L28" s="73">
        <f t="shared" ref="L28" ca="1" si="8">L25+L27</f>
        <v>787.13826481979243</v>
      </c>
      <c r="M28" s="73">
        <f t="shared" ref="M28" ca="1" si="9">M25+M27</f>
        <v>1247.5203326437568</v>
      </c>
      <c r="N28" s="73">
        <f t="shared" ref="N28" ca="1" si="10">N25+N27</f>
        <v>1105.3156977581777</v>
      </c>
    </row>
    <row r="29" spans="4:14" ht="12" thickTop="1" x14ac:dyDescent="0.25"/>
  </sheetData>
  <conditionalFormatting sqref="F4">
    <cfRule type="cellIs" dxfId="15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/>
    <pageSetUpPr fitToPage="1"/>
  </sheetPr>
  <dimension ref="A1:P58"/>
  <sheetViews>
    <sheetView zoomScaleNormal="100" workbookViewId="0">
      <pane ySplit="9" topLeftCell="A23" activePane="bottomLeft" state="frozen"/>
      <selection activeCell="D42" sqref="D42"/>
      <selection pane="bottomLeft" activeCell="J47" sqref="J47"/>
    </sheetView>
  </sheetViews>
  <sheetFormatPr defaultColWidth="9.09765625" defaultRowHeight="11.5" x14ac:dyDescent="0.25"/>
  <cols>
    <col min="1" max="4" width="3.69921875" style="68" customWidth="1"/>
    <col min="5" max="5" width="21.09765625" style="68" customWidth="1"/>
    <col min="6" max="6" width="9.09765625" style="68"/>
    <col min="7" max="7" width="12.69921875" style="68" customWidth="1"/>
    <col min="8" max="8" width="2" style="68" customWidth="1"/>
    <col min="9" max="9" width="9.09765625" style="68"/>
    <col min="10" max="14" width="10.69921875" style="68" customWidth="1"/>
    <col min="15" max="16384" width="9.09765625" style="68"/>
  </cols>
  <sheetData>
    <row r="1" spans="1:16" ht="20" x14ac:dyDescent="0.4">
      <c r="A1" s="48" t="str">
        <f ca="1">IF(ISERROR(RIGHT(CELL("filename",A1),LEN(CELL("filename",A1))-FIND("]",CELL("filename",A1)))),
"",
RIGHT(CELL("filename",A1),LEN(CELL("filename",A1))-FIND("]",CELL("filename",A1))))</f>
        <v>Balance Sheet</v>
      </c>
      <c r="I1" s="61"/>
      <c r="J1" s="61"/>
    </row>
    <row r="2" spans="1:16" ht="17.5" x14ac:dyDescent="0.35">
      <c r="A2" s="49" t="str">
        <f ca="1">Model_Name</f>
        <v>Go Skills Model 47 - Taxation Part 4 Start.xlsm</v>
      </c>
    </row>
    <row r="3" spans="1:16" x14ac:dyDescent="0.25">
      <c r="A3" s="147" t="s">
        <v>1</v>
      </c>
      <c r="B3" s="61"/>
      <c r="C3" s="61"/>
      <c r="D3" s="61"/>
      <c r="E3" s="61"/>
    </row>
    <row r="4" spans="1:16" ht="14" x14ac:dyDescent="0.3">
      <c r="B4" s="68" t="s">
        <v>2</v>
      </c>
      <c r="F4" s="1">
        <f ca="1">Overall_Error_Check</f>
        <v>0</v>
      </c>
    </row>
    <row r="5" spans="1:16" x14ac:dyDescent="0.25">
      <c r="J5" s="70">
        <f>Timing!J5</f>
        <v>44012</v>
      </c>
      <c r="K5" s="70">
        <f>Timing!K5</f>
        <v>44377</v>
      </c>
      <c r="L5" s="70">
        <f>Timing!L5</f>
        <v>44742</v>
      </c>
      <c r="M5" s="70">
        <f>Timing!M5</f>
        <v>45107</v>
      </c>
      <c r="N5" s="70">
        <f>Timing!N5</f>
        <v>45473</v>
      </c>
    </row>
    <row r="6" spans="1:16" x14ac:dyDescent="0.25">
      <c r="C6" s="68" t="s">
        <v>68</v>
      </c>
      <c r="J6" s="42">
        <f>Timing!J6</f>
        <v>43647</v>
      </c>
      <c r="K6" s="42">
        <f>Timing!K6</f>
        <v>44013</v>
      </c>
      <c r="L6" s="42">
        <f>Timing!L6</f>
        <v>44378</v>
      </c>
      <c r="M6" s="42">
        <f>Timing!M6</f>
        <v>44743</v>
      </c>
      <c r="N6" s="42">
        <f>Timing!N6</f>
        <v>45108</v>
      </c>
    </row>
    <row r="7" spans="1:16" x14ac:dyDescent="0.25">
      <c r="C7" s="68" t="s">
        <v>69</v>
      </c>
      <c r="J7" s="42">
        <f>Timing!J7</f>
        <v>44012</v>
      </c>
      <c r="K7" s="42">
        <f>Timing!K7</f>
        <v>44377</v>
      </c>
      <c r="L7" s="42">
        <f>Timing!L7</f>
        <v>44742</v>
      </c>
      <c r="M7" s="42">
        <f>Timing!M7</f>
        <v>45107</v>
      </c>
      <c r="N7" s="42">
        <f>Timing!N7</f>
        <v>45473</v>
      </c>
    </row>
    <row r="8" spans="1:16" x14ac:dyDescent="0.25">
      <c r="C8" s="68" t="s">
        <v>71</v>
      </c>
      <c r="J8" s="68">
        <f>Timing!J8</f>
        <v>366</v>
      </c>
      <c r="K8" s="68">
        <f>Timing!K8</f>
        <v>365</v>
      </c>
      <c r="L8" s="68">
        <f>Timing!L8</f>
        <v>365</v>
      </c>
      <c r="M8" s="68">
        <f>Timing!M8</f>
        <v>365</v>
      </c>
      <c r="N8" s="68">
        <f>Timing!N8</f>
        <v>366</v>
      </c>
    </row>
    <row r="9" spans="1:16" x14ac:dyDescent="0.25">
      <c r="C9" s="68" t="s">
        <v>70</v>
      </c>
      <c r="J9" s="68">
        <f>Timing!J9</f>
        <v>1</v>
      </c>
      <c r="K9" s="68">
        <f>Timing!K9</f>
        <v>2</v>
      </c>
      <c r="L9" s="68">
        <f>Timing!L9</f>
        <v>3</v>
      </c>
      <c r="M9" s="68">
        <f>Timing!M9</f>
        <v>4</v>
      </c>
      <c r="N9" s="68">
        <f>Timing!N9</f>
        <v>5</v>
      </c>
    </row>
    <row r="11" spans="1:16" ht="16" thickBot="1" x14ac:dyDescent="0.4">
      <c r="B11" s="50">
        <f>MAX($B$10:$B10)+1</f>
        <v>1</v>
      </c>
      <c r="C11" s="44" t="str">
        <f ca="1">A1</f>
        <v>Balance Sheet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2" thickTop="1" x14ac:dyDescent="0.25"/>
    <row r="13" spans="1:16" ht="14" x14ac:dyDescent="0.3">
      <c r="C13" s="5" t="str">
        <f>'Opening Balance Sheet'!C13</f>
        <v>Current assets</v>
      </c>
      <c r="P13" s="23"/>
    </row>
    <row r="14" spans="1:16" x14ac:dyDescent="0.25">
      <c r="D14" s="68" t="str">
        <f>'Opening Balance Sheet'!D14</f>
        <v>Cash</v>
      </c>
      <c r="G14" s="37" t="str">
        <f>Currency</f>
        <v>US$'000</v>
      </c>
      <c r="J14" s="74">
        <f>IF(J$9=1,'Opening Balance Sheet'!$I$14,I14)+'Cash Flow Statement'!J37</f>
        <v>-740.42622950819668</v>
      </c>
      <c r="K14" s="74">
        <f>IF(K$9=1,'Opening Balance Sheet'!$I$14,J14)+'Cash Flow Statement'!K37</f>
        <v>-2458.6519637448791</v>
      </c>
      <c r="L14" s="74">
        <f>IF(L$9=1,'Opening Balance Sheet'!$I$14,K14)+'Cash Flow Statement'!L37</f>
        <v>-598.44910608418468</v>
      </c>
      <c r="M14" s="74">
        <f>IF(M$9=1,'Opening Balance Sheet'!$I$14,L14)+'Cash Flow Statement'!M37</f>
        <v>1568.4843377702136</v>
      </c>
      <c r="N14" s="74">
        <f>IF(N$9=1,'Opening Balance Sheet'!$I$14,M14)+'Cash Flow Statement'!N37</f>
        <v>2669.5940733128054</v>
      </c>
      <c r="P14" s="23"/>
    </row>
    <row r="15" spans="1:16" x14ac:dyDescent="0.25">
      <c r="D15" s="68" t="str">
        <f>'Opening Balance Sheet'!D15</f>
        <v>Accounts receivable</v>
      </c>
      <c r="G15" s="37" t="str">
        <f>Currency</f>
        <v>US$'000</v>
      </c>
      <c r="J15" s="74">
        <f>Calculations!J38</f>
        <v>245.90163934426229</v>
      </c>
      <c r="K15" s="74">
        <f>Calculations!K38</f>
        <v>507.94520547945206</v>
      </c>
      <c r="L15" s="74">
        <f>Calculations!L38</f>
        <v>792.39452054794538</v>
      </c>
      <c r="M15" s="74">
        <f>Calculations!M38</f>
        <v>1109.3523287671235</v>
      </c>
      <c r="N15" s="74">
        <f>Calculations!N38</f>
        <v>1465.875737704918</v>
      </c>
      <c r="P15" s="23"/>
    </row>
    <row r="16" spans="1:16" x14ac:dyDescent="0.25">
      <c r="D16" s="68" t="str">
        <f>'Opening Balance Sheet'!D16</f>
        <v>Inventory</v>
      </c>
      <c r="G16" s="37" t="str">
        <f>Currency</f>
        <v>US$'000</v>
      </c>
      <c r="J16" s="74">
        <f>Calculations!J139</f>
        <v>774.06</v>
      </c>
      <c r="K16" s="74">
        <f>Calculations!K139</f>
        <v>2563.8492901960781</v>
      </c>
      <c r="L16" s="74">
        <f>Calculations!L139</f>
        <v>1090.0995906135272</v>
      </c>
      <c r="M16" s="74">
        <f>Calculations!M139</f>
        <v>109.05898385212531</v>
      </c>
      <c r="N16" s="74">
        <f>Calculations!N139</f>
        <v>131.5257902262762</v>
      </c>
      <c r="P16" s="23"/>
    </row>
    <row r="17" spans="3:16" x14ac:dyDescent="0.25">
      <c r="D17" s="68" t="str">
        <f>'Opening Balance Sheet'!D17</f>
        <v>Other current assets</v>
      </c>
      <c r="G17" s="37" t="str">
        <f>Currency</f>
        <v>US$'000</v>
      </c>
      <c r="J17" s="74"/>
      <c r="K17" s="74"/>
      <c r="L17" s="74"/>
      <c r="M17" s="74"/>
      <c r="N17" s="74"/>
      <c r="P17" s="23"/>
    </row>
    <row r="18" spans="3:16" x14ac:dyDescent="0.25">
      <c r="D18" s="71" t="str">
        <f>'Opening Balance Sheet'!D18</f>
        <v>Total current assets</v>
      </c>
      <c r="G18" s="37" t="str">
        <f>Currency</f>
        <v>US$'000</v>
      </c>
      <c r="J18" s="76">
        <f>SUM(J14:J17)</f>
        <v>279.53540983606558</v>
      </c>
      <c r="K18" s="76">
        <f>SUM(K14:K17)</f>
        <v>613.14253193065088</v>
      </c>
      <c r="L18" s="76">
        <f>SUM(L14:L17)</f>
        <v>1284.0450050772879</v>
      </c>
      <c r="M18" s="76">
        <f>SUM(M14:M17)</f>
        <v>2786.8956503894624</v>
      </c>
      <c r="N18" s="76">
        <f>SUM(N14:N17)</f>
        <v>4266.9956012439998</v>
      </c>
      <c r="P18" s="23"/>
    </row>
    <row r="19" spans="3:16" x14ac:dyDescent="0.25">
      <c r="G19" s="37"/>
      <c r="P19" s="23"/>
    </row>
    <row r="20" spans="3:16" ht="14" x14ac:dyDescent="0.3">
      <c r="C20" s="5" t="str">
        <f>'Opening Balance Sheet'!C20</f>
        <v>Non-current assets</v>
      </c>
      <c r="G20" s="37"/>
      <c r="P20" s="23"/>
    </row>
    <row r="21" spans="3:16" x14ac:dyDescent="0.25">
      <c r="D21" s="68" t="str">
        <f>'Opening Balance Sheet'!D21</f>
        <v>PP&amp;E</v>
      </c>
      <c r="G21" s="37" t="str">
        <f>Currency</f>
        <v>US$'000</v>
      </c>
      <c r="J21" s="74">
        <f ca="1">Calculations!J200</f>
        <v>112.5</v>
      </c>
      <c r="K21" s="74">
        <f ca="1">Calculations!K200</f>
        <v>210</v>
      </c>
      <c r="L21" s="74">
        <f ca="1">Calculations!L200</f>
        <v>217.5</v>
      </c>
      <c r="M21" s="74">
        <f ca="1">Calculations!M200</f>
        <v>172.5</v>
      </c>
      <c r="N21" s="74">
        <f ca="1">Calculations!N200</f>
        <v>150</v>
      </c>
      <c r="P21" s="23"/>
    </row>
    <row r="22" spans="3:16" x14ac:dyDescent="0.25">
      <c r="D22" s="68" t="str">
        <f>'Opening Balance Sheet'!D22</f>
        <v>Deferred tax assets</v>
      </c>
      <c r="G22" s="37" t="str">
        <f>Currency</f>
        <v>US$'000</v>
      </c>
      <c r="J22" s="74"/>
      <c r="K22" s="74"/>
      <c r="L22" s="74"/>
      <c r="M22" s="74"/>
      <c r="N22" s="74"/>
      <c r="P22" s="23"/>
    </row>
    <row r="23" spans="3:16" x14ac:dyDescent="0.25">
      <c r="D23" s="71" t="str">
        <f>'Opening Balance Sheet'!D23</f>
        <v>Total non-current assets</v>
      </c>
      <c r="G23" s="37" t="str">
        <f>Currency</f>
        <v>US$'000</v>
      </c>
      <c r="J23" s="76">
        <f ca="1">SUM(J21:J22)</f>
        <v>112.5</v>
      </c>
      <c r="K23" s="76">
        <f t="shared" ref="K23:N23" ca="1" si="0">SUM(K21:K22)</f>
        <v>210</v>
      </c>
      <c r="L23" s="76">
        <f t="shared" ca="1" si="0"/>
        <v>217.5</v>
      </c>
      <c r="M23" s="76">
        <f t="shared" ca="1" si="0"/>
        <v>172.5</v>
      </c>
      <c r="N23" s="76">
        <f t="shared" ca="1" si="0"/>
        <v>150</v>
      </c>
      <c r="P23" s="23"/>
    </row>
    <row r="24" spans="3:16" x14ac:dyDescent="0.25">
      <c r="G24" s="37"/>
      <c r="P24" s="23"/>
    </row>
    <row r="25" spans="3:16" ht="14" x14ac:dyDescent="0.3">
      <c r="C25" s="5" t="str">
        <f>'Opening Balance Sheet'!C25</f>
        <v>Total assets</v>
      </c>
      <c r="G25" s="37" t="str">
        <f>Currency</f>
        <v>US$'000</v>
      </c>
      <c r="J25" s="76">
        <f ca="1">J18+J23</f>
        <v>392.03540983606558</v>
      </c>
      <c r="K25" s="76">
        <f t="shared" ref="K25:N25" ca="1" si="1">K18+K23</f>
        <v>823.14253193065088</v>
      </c>
      <c r="L25" s="76">
        <f t="shared" ca="1" si="1"/>
        <v>1501.5450050772879</v>
      </c>
      <c r="M25" s="76">
        <f t="shared" ca="1" si="1"/>
        <v>2959.3956503894624</v>
      </c>
      <c r="N25" s="76">
        <f t="shared" ca="1" si="1"/>
        <v>4416.9956012439998</v>
      </c>
      <c r="P25" s="23"/>
    </row>
    <row r="26" spans="3:16" x14ac:dyDescent="0.25">
      <c r="G26" s="37"/>
      <c r="P26" s="23"/>
    </row>
    <row r="27" spans="3:16" ht="14" x14ac:dyDescent="0.3">
      <c r="C27" s="5" t="str">
        <f>'Opening Balance Sheet'!C27</f>
        <v>Current liabilities</v>
      </c>
      <c r="G27" s="37"/>
      <c r="P27" s="23"/>
    </row>
    <row r="28" spans="3:16" x14ac:dyDescent="0.25">
      <c r="D28" s="68" t="str">
        <f>'Opening Balance Sheet'!D28</f>
        <v>Accounts payable</v>
      </c>
      <c r="G28" s="37" t="str">
        <f t="shared" ref="G28:G33" si="2">Currency</f>
        <v>US$'000</v>
      </c>
      <c r="J28" s="74">
        <f>Calculations!J64+Calculations!J91+Calculations!J168</f>
        <v>241.47540983606558</v>
      </c>
      <c r="K28" s="74">
        <f>Calculations!K64+Calculations!K91+Calculations!K168</f>
        <v>531.14383561643842</v>
      </c>
      <c r="L28" s="74">
        <f>Calculations!L64+Calculations!L91+Calculations!L168</f>
        <v>431.37205479452064</v>
      </c>
      <c r="M28" s="74">
        <f>Calculations!M64+Calculations!M91+Calculations!M168</f>
        <v>687.26334246575357</v>
      </c>
      <c r="N28" s="74">
        <f>Calculations!N64+Calculations!N91+Calculations!N168</f>
        <v>1069.4801475409838</v>
      </c>
      <c r="P28" s="23"/>
    </row>
    <row r="29" spans="3:16" x14ac:dyDescent="0.25">
      <c r="D29" s="68" t="str">
        <f>'Opening Balance Sheet'!D29</f>
        <v>Interest payable</v>
      </c>
      <c r="G29" s="37" t="str">
        <f t="shared" si="2"/>
        <v>US$'000</v>
      </c>
      <c r="J29" s="74">
        <f>Calculations!J236-Calculations!J256</f>
        <v>2.6005938818652163</v>
      </c>
      <c r="K29" s="74">
        <f>Calculations!K236-Calculations!K256</f>
        <v>14.85604644889496</v>
      </c>
      <c r="L29" s="74">
        <f>Calculations!L236-Calculations!L256</f>
        <v>20.892035597657031</v>
      </c>
      <c r="M29" s="74">
        <f>Calculations!M236-Calculations!M256</f>
        <v>0.331060594841599</v>
      </c>
      <c r="N29" s="74">
        <f>Calculations!N236-Calculations!N256</f>
        <v>-19.601491384027248</v>
      </c>
      <c r="P29" s="23"/>
    </row>
    <row r="30" spans="3:16" x14ac:dyDescent="0.25">
      <c r="D30" s="68" t="str">
        <f>'Opening Balance Sheet'!D30</f>
        <v>Dividends payable</v>
      </c>
      <c r="G30" s="37" t="str">
        <f t="shared" si="2"/>
        <v>US$'000</v>
      </c>
      <c r="J30" s="74"/>
      <c r="K30" s="74"/>
      <c r="L30" s="74"/>
      <c r="M30" s="74"/>
      <c r="N30" s="74"/>
      <c r="P30" s="23"/>
    </row>
    <row r="31" spans="3:16" x14ac:dyDescent="0.25">
      <c r="D31" s="68" t="str">
        <f>'Opening Balance Sheet'!D31</f>
        <v>Tax payable</v>
      </c>
      <c r="G31" s="37" t="str">
        <f t="shared" si="2"/>
        <v>US$'000</v>
      </c>
      <c r="J31" s="74"/>
      <c r="K31" s="74"/>
      <c r="L31" s="74"/>
      <c r="M31" s="74"/>
      <c r="N31" s="74"/>
      <c r="P31" s="23"/>
    </row>
    <row r="32" spans="3:16" x14ac:dyDescent="0.25">
      <c r="D32" s="68" t="str">
        <f>'Opening Balance Sheet'!D32</f>
        <v>Other current liabilities</v>
      </c>
      <c r="G32" s="37" t="str">
        <f t="shared" si="2"/>
        <v>US$'000</v>
      </c>
      <c r="J32" s="74"/>
      <c r="K32" s="74"/>
      <c r="L32" s="74"/>
      <c r="M32" s="74"/>
      <c r="N32" s="74"/>
      <c r="P32" s="23"/>
    </row>
    <row r="33" spans="3:16" x14ac:dyDescent="0.25">
      <c r="D33" s="71" t="str">
        <f>'Opening Balance Sheet'!D33</f>
        <v>Total current liabilities</v>
      </c>
      <c r="G33" s="37" t="str">
        <f t="shared" si="2"/>
        <v>US$'000</v>
      </c>
      <c r="J33" s="76">
        <f>SUM(J28:J32)</f>
        <v>244.0760037179308</v>
      </c>
      <c r="K33" s="76">
        <f>SUM(K28:K32)</f>
        <v>545.9998820653334</v>
      </c>
      <c r="L33" s="76">
        <f>SUM(L28:L32)</f>
        <v>452.26409039217765</v>
      </c>
      <c r="M33" s="76">
        <f>SUM(M28:M32)</f>
        <v>687.59440306059514</v>
      </c>
      <c r="N33" s="76">
        <f>SUM(N28:N32)</f>
        <v>1049.8786561569566</v>
      </c>
      <c r="P33" s="23"/>
    </row>
    <row r="34" spans="3:16" x14ac:dyDescent="0.25">
      <c r="G34" s="37"/>
      <c r="P34" s="23"/>
    </row>
    <row r="35" spans="3:16" ht="14" x14ac:dyDescent="0.3">
      <c r="C35" s="5" t="str">
        <f>'Opening Balance Sheet'!C35</f>
        <v>Non-current liabilities</v>
      </c>
      <c r="G35" s="37"/>
      <c r="P35" s="23"/>
    </row>
    <row r="36" spans="3:16" x14ac:dyDescent="0.25">
      <c r="D36" s="68" t="str">
        <f>'Opening Balance Sheet'!D36</f>
        <v>Debt</v>
      </c>
      <c r="G36" s="37" t="str">
        <f>Currency</f>
        <v>US$'000</v>
      </c>
      <c r="J36" s="74">
        <f>Calculations!J217</f>
        <v>20</v>
      </c>
      <c r="K36" s="74">
        <f>Calculations!K217</f>
        <v>40</v>
      </c>
      <c r="L36" s="74">
        <f>Calculations!L217</f>
        <v>25</v>
      </c>
      <c r="M36" s="74">
        <f>Calculations!M217</f>
        <v>0</v>
      </c>
      <c r="N36" s="74">
        <f>Calculations!N217</f>
        <v>-10</v>
      </c>
      <c r="P36" s="23"/>
    </row>
    <row r="37" spans="3:16" x14ac:dyDescent="0.25">
      <c r="D37" s="68" t="str">
        <f>'Opening Balance Sheet'!D37</f>
        <v>Deferred tax liabilities</v>
      </c>
      <c r="G37" s="37" t="str">
        <f>Currency</f>
        <v>US$'000</v>
      </c>
      <c r="J37" s="74"/>
      <c r="K37" s="74"/>
      <c r="L37" s="74"/>
      <c r="M37" s="74"/>
      <c r="N37" s="74"/>
      <c r="P37" s="23"/>
    </row>
    <row r="38" spans="3:16" x14ac:dyDescent="0.25">
      <c r="D38" s="71" t="str">
        <f>'Opening Balance Sheet'!D38</f>
        <v>Total non-current liabilities</v>
      </c>
      <c r="G38" s="37" t="str">
        <f>Currency</f>
        <v>US$'000</v>
      </c>
      <c r="J38" s="76">
        <f>SUM(J36:J37)</f>
        <v>20</v>
      </c>
      <c r="K38" s="76">
        <f t="shared" ref="K38:N38" si="3">SUM(K36:K37)</f>
        <v>40</v>
      </c>
      <c r="L38" s="76">
        <f t="shared" si="3"/>
        <v>25</v>
      </c>
      <c r="M38" s="76">
        <f t="shared" si="3"/>
        <v>0</v>
      </c>
      <c r="N38" s="76">
        <f t="shared" si="3"/>
        <v>-10</v>
      </c>
      <c r="P38" s="23"/>
    </row>
    <row r="39" spans="3:16" x14ac:dyDescent="0.25">
      <c r="G39" s="37"/>
      <c r="P39" s="23"/>
    </row>
    <row r="40" spans="3:16" ht="14" x14ac:dyDescent="0.3">
      <c r="C40" s="5" t="str">
        <f>'Opening Balance Sheet'!C40</f>
        <v>Total liabilities</v>
      </c>
      <c r="G40" s="37" t="str">
        <f>Currency</f>
        <v>US$'000</v>
      </c>
      <c r="J40" s="76">
        <f>J38+J33</f>
        <v>264.0760037179308</v>
      </c>
      <c r="K40" s="76">
        <f t="shared" ref="K40:N40" si="4">K38+K33</f>
        <v>585.9998820653334</v>
      </c>
      <c r="L40" s="76">
        <f t="shared" si="4"/>
        <v>477.26409039217765</v>
      </c>
      <c r="M40" s="76">
        <f t="shared" si="4"/>
        <v>687.59440306059514</v>
      </c>
      <c r="N40" s="76">
        <f t="shared" si="4"/>
        <v>1039.8786561569566</v>
      </c>
      <c r="P40" s="23"/>
    </row>
    <row r="41" spans="3:16" x14ac:dyDescent="0.25">
      <c r="G41" s="37"/>
      <c r="P41" s="23"/>
    </row>
    <row r="42" spans="3:16" ht="14.5" thickBot="1" x14ac:dyDescent="0.35">
      <c r="C42" s="5" t="str">
        <f>'Opening Balance Sheet'!C42</f>
        <v>Net assets</v>
      </c>
      <c r="G42" s="37" t="str">
        <f>Currency</f>
        <v>US$'000</v>
      </c>
      <c r="J42" s="77">
        <f ca="1">J25-J40</f>
        <v>127.95940611813478</v>
      </c>
      <c r="K42" s="77">
        <f ca="1">K25-K40</f>
        <v>237.14264986531748</v>
      </c>
      <c r="L42" s="77">
        <f ca="1">L25-L40</f>
        <v>1024.2809146851102</v>
      </c>
      <c r="M42" s="77">
        <f ca="1">M25-M40</f>
        <v>2271.8012473288672</v>
      </c>
      <c r="N42" s="77">
        <f ca="1">N25-N40</f>
        <v>3377.116945087043</v>
      </c>
      <c r="P42" s="23"/>
    </row>
    <row r="43" spans="3:16" ht="12" thickTop="1" x14ac:dyDescent="0.25">
      <c r="G43" s="37"/>
      <c r="J43" s="75"/>
      <c r="K43" s="75"/>
      <c r="L43" s="75"/>
      <c r="M43" s="75"/>
      <c r="N43" s="75"/>
      <c r="P43" s="23"/>
    </row>
    <row r="44" spans="3:16" x14ac:dyDescent="0.25">
      <c r="G44" s="37"/>
      <c r="P44" s="23"/>
    </row>
    <row r="45" spans="3:16" ht="14" x14ac:dyDescent="0.3">
      <c r="C45" s="5" t="str">
        <f>'Opening Balance Sheet'!C45</f>
        <v>Equity</v>
      </c>
      <c r="G45" s="37"/>
      <c r="P45" s="23"/>
    </row>
    <row r="46" spans="3:16" x14ac:dyDescent="0.25">
      <c r="D46" s="68" t="str">
        <f>'Opening Balance Sheet'!D46</f>
        <v>Ordinary equity</v>
      </c>
      <c r="G46" s="37" t="str">
        <f t="shared" ref="G46:G51" si="5">Currency</f>
        <v>US$'000</v>
      </c>
      <c r="J46" s="74"/>
      <c r="K46" s="74"/>
      <c r="L46" s="74"/>
      <c r="M46" s="74"/>
      <c r="N46" s="74"/>
      <c r="P46" s="23"/>
    </row>
    <row r="47" spans="3:16" x14ac:dyDescent="0.25">
      <c r="E47" s="68" t="str">
        <f>'Opening Balance Sheet'!E47</f>
        <v>Opening retained profits</v>
      </c>
      <c r="G47" s="37" t="str">
        <f t="shared" si="5"/>
        <v>US$'000</v>
      </c>
      <c r="J47" s="74">
        <f>IF(J$9=1,'Opening Balance Sheet'!$I$50,I50)</f>
        <v>0</v>
      </c>
      <c r="K47" s="74">
        <f ca="1">IF(K$9=1,'Opening Balance Sheet'!$I$50,J50)</f>
        <v>127.95940611813478</v>
      </c>
      <c r="L47" s="74">
        <f ca="1">IF(L$9=1,'Opening Balance Sheet'!$I$50,K50)</f>
        <v>237.14264986531839</v>
      </c>
      <c r="M47" s="74">
        <f ca="1">IF(M$9=1,'Opening Balance Sheet'!$I$50,L50)</f>
        <v>1024.2809146851109</v>
      </c>
      <c r="N47" s="74">
        <f ca="1">IF(N$9=1,'Opening Balance Sheet'!$I$50,M50)</f>
        <v>2271.8012473288677</v>
      </c>
      <c r="P47" s="23"/>
    </row>
    <row r="48" spans="3:16" x14ac:dyDescent="0.25">
      <c r="E48" s="68" t="str">
        <f>'Opening Balance Sheet'!E48</f>
        <v>NPAT</v>
      </c>
      <c r="G48" s="37" t="str">
        <f t="shared" si="5"/>
        <v>US$'000</v>
      </c>
      <c r="J48" s="74">
        <f ca="1">'Income Statement'!J28</f>
        <v>127.95940611813478</v>
      </c>
      <c r="K48" s="74">
        <f ca="1">'Income Statement'!K28</f>
        <v>109.18324374718362</v>
      </c>
      <c r="L48" s="74">
        <f ca="1">'Income Statement'!L28</f>
        <v>787.13826481979243</v>
      </c>
      <c r="M48" s="74">
        <f ca="1">'Income Statement'!M28</f>
        <v>1247.5203326437568</v>
      </c>
      <c r="N48" s="74">
        <f ca="1">'Income Statement'!N28</f>
        <v>1105.3156977581777</v>
      </c>
      <c r="P48" s="23"/>
    </row>
    <row r="49" spans="1:16" x14ac:dyDescent="0.25">
      <c r="A49" s="68" t="s">
        <v>217</v>
      </c>
      <c r="E49" s="68" t="str">
        <f>'Opening Balance Sheet'!E49</f>
        <v>Dividends declared</v>
      </c>
      <c r="G49" s="37" t="str">
        <f t="shared" si="5"/>
        <v>US$'000</v>
      </c>
      <c r="J49" s="85"/>
      <c r="K49" s="85"/>
      <c r="L49" s="85"/>
      <c r="M49" s="85"/>
      <c r="N49" s="85"/>
      <c r="P49" s="23"/>
    </row>
    <row r="50" spans="1:16" x14ac:dyDescent="0.25">
      <c r="D50" s="68" t="str">
        <f>'Opening Balance Sheet'!D50</f>
        <v>Retained profits</v>
      </c>
      <c r="G50" s="37" t="str">
        <f t="shared" si="5"/>
        <v>US$'000</v>
      </c>
      <c r="J50" s="76">
        <f ca="1">SUM(J47:J49)</f>
        <v>127.95940611813478</v>
      </c>
      <c r="K50" s="76">
        <f t="shared" ref="K50:N50" ca="1" si="6">SUM(K47:K49)</f>
        <v>237.14264986531839</v>
      </c>
      <c r="L50" s="76">
        <f t="shared" ca="1" si="6"/>
        <v>1024.2809146851109</v>
      </c>
      <c r="M50" s="76">
        <f t="shared" ca="1" si="6"/>
        <v>2271.8012473288677</v>
      </c>
      <c r="N50" s="76">
        <f t="shared" ca="1" si="6"/>
        <v>3377.1169450870457</v>
      </c>
      <c r="P50" s="23"/>
    </row>
    <row r="51" spans="1:16" ht="14.5" thickBot="1" x14ac:dyDescent="0.35">
      <c r="C51" s="5"/>
      <c r="D51" s="71" t="str">
        <f>'Opening Balance Sheet'!D51</f>
        <v>Total equity</v>
      </c>
      <c r="G51" s="37" t="str">
        <f t="shared" si="5"/>
        <v>US$'000</v>
      </c>
      <c r="J51" s="77">
        <f ca="1">J46+J50</f>
        <v>127.95940611813478</v>
      </c>
      <c r="K51" s="77">
        <f t="shared" ref="K51:N51" ca="1" si="7">K46+K50</f>
        <v>237.14264986531839</v>
      </c>
      <c r="L51" s="77">
        <f t="shared" ca="1" si="7"/>
        <v>1024.2809146851109</v>
      </c>
      <c r="M51" s="77">
        <f t="shared" ca="1" si="7"/>
        <v>2271.8012473288677</v>
      </c>
      <c r="N51" s="77">
        <f t="shared" ca="1" si="7"/>
        <v>3377.1169450870457</v>
      </c>
      <c r="P51" s="23"/>
    </row>
    <row r="52" spans="1:16" ht="12" thickTop="1" x14ac:dyDescent="0.25">
      <c r="P52" s="23"/>
    </row>
    <row r="53" spans="1:16" x14ac:dyDescent="0.25">
      <c r="P53" s="23"/>
    </row>
    <row r="54" spans="1:16" ht="14" x14ac:dyDescent="0.3">
      <c r="C54" s="5" t="s">
        <v>207</v>
      </c>
      <c r="G54" s="37"/>
      <c r="P54" s="23"/>
    </row>
    <row r="55" spans="1:16" x14ac:dyDescent="0.25">
      <c r="G55" s="37"/>
    </row>
    <row r="56" spans="1:16" ht="12.5" x14ac:dyDescent="0.25">
      <c r="D56" s="68" t="s">
        <v>208</v>
      </c>
      <c r="G56" s="37" t="str">
        <f>Boolean</f>
        <v>[1,0]</v>
      </c>
      <c r="I56" s="83">
        <f ca="1">MIN(SUM(J56:N56),1)</f>
        <v>0</v>
      </c>
      <c r="J56" s="84">
        <f ca="1">IF(ISERROR(J42-J51),1,0)</f>
        <v>0</v>
      </c>
      <c r="K56" s="84">
        <f t="shared" ref="K56:N56" ca="1" si="8">IF(ISERROR(K42-K51),1,0)</f>
        <v>0</v>
      </c>
      <c r="L56" s="84">
        <f t="shared" ca="1" si="8"/>
        <v>0</v>
      </c>
      <c r="M56" s="84">
        <f t="shared" ca="1" si="8"/>
        <v>0</v>
      </c>
      <c r="N56" s="84">
        <f t="shared" ca="1" si="8"/>
        <v>0</v>
      </c>
    </row>
    <row r="57" spans="1:16" ht="12.5" x14ac:dyDescent="0.25">
      <c r="D57" s="68" t="s">
        <v>209</v>
      </c>
      <c r="G57" s="37" t="str">
        <f>Boolean</f>
        <v>[1,0]</v>
      </c>
      <c r="I57" s="83">
        <f ca="1">MIN(SUM(J57:N57),1)</f>
        <v>0</v>
      </c>
      <c r="J57" s="84">
        <f ca="1">IF(J56&lt;&gt;0,0,(ROUND(J42-J51,Rounding_Accuracy)&lt;&gt;0)*1)</f>
        <v>0</v>
      </c>
      <c r="K57" s="84">
        <f ca="1">IF(K56&lt;&gt;0,0,(ROUND(K42-K51,Rounding_Accuracy)&lt;&gt;0)*1)</f>
        <v>0</v>
      </c>
      <c r="L57" s="84">
        <f ca="1">IF(L56&lt;&gt;0,0,(ROUND(L42-L51,Rounding_Accuracy)&lt;&gt;0)*1)</f>
        <v>0</v>
      </c>
      <c r="M57" s="84">
        <f ca="1">IF(M56&lt;&gt;0,0,(ROUND(M42-M51,Rounding_Accuracy)&lt;&gt;0)*1)</f>
        <v>0</v>
      </c>
      <c r="N57" s="84">
        <f ca="1">IF(N56&lt;&gt;0,0,(ROUND(N42-N51,Rounding_Accuracy)&lt;&gt;0)*1)</f>
        <v>0</v>
      </c>
    </row>
    <row r="58" spans="1:16" ht="12.5" x14ac:dyDescent="0.25">
      <c r="D58" s="68" t="s">
        <v>210</v>
      </c>
      <c r="G58" s="37" t="str">
        <f>Boolean</f>
        <v>[1,0]</v>
      </c>
      <c r="I58" s="83">
        <f ca="1">MIN(SUM(J58:N58),1)</f>
        <v>0</v>
      </c>
      <c r="J58" s="84">
        <f ca="1">IF(SUM(J56:J57)&lt;&gt;0,0,(J42&lt;0)*1)</f>
        <v>0</v>
      </c>
      <c r="K58" s="84">
        <f t="shared" ref="K58:N58" ca="1" si="9">IF(SUM(K56:K57)&lt;&gt;0,0,(K42&lt;0)*1)</f>
        <v>0</v>
      </c>
      <c r="L58" s="84">
        <f t="shared" ca="1" si="9"/>
        <v>0</v>
      </c>
      <c r="M58" s="84">
        <f t="shared" ca="1" si="9"/>
        <v>0</v>
      </c>
      <c r="N58" s="84">
        <f t="shared" ca="1" si="9"/>
        <v>0</v>
      </c>
    </row>
  </sheetData>
  <conditionalFormatting sqref="F4">
    <cfRule type="cellIs" dxfId="14" priority="5" operator="notEqual">
      <formula>0</formula>
    </cfRule>
  </conditionalFormatting>
  <conditionalFormatting sqref="J56:N56">
    <cfRule type="cellIs" dxfId="13" priority="4" operator="notEqual">
      <formula>0</formula>
    </cfRule>
  </conditionalFormatting>
  <conditionalFormatting sqref="I56:I58">
    <cfRule type="cellIs" dxfId="12" priority="3" operator="notEqual">
      <formula>0</formula>
    </cfRule>
  </conditionalFormatting>
  <conditionalFormatting sqref="J57:N57">
    <cfRule type="cellIs" dxfId="11" priority="2" operator="notEqual">
      <formula>0</formula>
    </cfRule>
  </conditionalFormatting>
  <conditionalFormatting sqref="J58:N58">
    <cfRule type="cellIs" dxfId="10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5A5A813-F7F9-4FDF-8937-B99CA07D8AE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61</vt:i4>
      </vt:variant>
    </vt:vector>
  </HeadingPairs>
  <TitlesOfParts>
    <vt:vector size="75" baseType="lpstr">
      <vt:lpstr>Cover</vt:lpstr>
      <vt:lpstr>Navigator</vt:lpstr>
      <vt:lpstr>Style Guide</vt:lpstr>
      <vt:lpstr>Model Parameters</vt:lpstr>
      <vt:lpstr>Assumptions</vt:lpstr>
      <vt:lpstr>Calculations</vt:lpstr>
      <vt:lpstr>Opening Balance Sheet</vt:lpstr>
      <vt:lpstr>Income Statement</vt:lpstr>
      <vt:lpstr>Balance Sheet</vt:lpstr>
      <vt:lpstr>Cash Flow Statement</vt:lpstr>
      <vt:lpstr>Lookup</vt:lpstr>
      <vt:lpstr>Timing</vt:lpstr>
      <vt:lpstr>Error Checks</vt:lpstr>
      <vt:lpstr>Change Log</vt:lpstr>
      <vt:lpstr>Balance_Sheet</vt:lpstr>
      <vt:lpstr>Boolean</vt:lpstr>
      <vt:lpstr>Cash_Flow_Statement</vt:lpstr>
      <vt:lpstr>Client_Name</vt:lpstr>
      <vt:lpstr>Currency</vt:lpstr>
      <vt:lpstr>Days_in_Year</vt:lpstr>
      <vt:lpstr>Days_in_Yr</vt:lpstr>
      <vt:lpstr>Dollars</vt:lpstr>
      <vt:lpstr>Example_Reporting_Month</vt:lpstr>
      <vt:lpstr>HL_1</vt:lpstr>
      <vt:lpstr>HL_10</vt:lpstr>
      <vt:lpstr>HL_11</vt:lpstr>
      <vt:lpstr>HL_12</vt:lpstr>
      <vt:lpstr>Lookup!HL_13</vt:lpstr>
      <vt:lpstr>HL_13</vt:lpstr>
      <vt:lpstr>HL_14</vt:lpstr>
      <vt:lpstr>HL_3</vt:lpstr>
      <vt:lpstr>HL_4</vt:lpstr>
      <vt:lpstr>'Balance Sheet'!HL_5</vt:lpstr>
      <vt:lpstr>'Cash Flow Statement'!HL_5</vt:lpstr>
      <vt:lpstr>'Income Statement'!HL_5</vt:lpstr>
      <vt:lpstr>'Opening Balance Sheet'!HL_5</vt:lpstr>
      <vt:lpstr>HL_5</vt:lpstr>
      <vt:lpstr>HL_6</vt:lpstr>
      <vt:lpstr>HL_7</vt:lpstr>
      <vt:lpstr>HL_8</vt:lpstr>
      <vt:lpstr>HL_9</vt:lpstr>
      <vt:lpstr>HL_BS_Balance</vt:lpstr>
      <vt:lpstr>HL_BS_Errors</vt:lpstr>
      <vt:lpstr>HL_BS_Insolvency</vt:lpstr>
      <vt:lpstr>HL_Navigator</vt:lpstr>
      <vt:lpstr>HL_Op_BS_Balance</vt:lpstr>
      <vt:lpstr>HL_Op_BS_Errors</vt:lpstr>
      <vt:lpstr>HL_Op_BS_Insolvency</vt:lpstr>
      <vt:lpstr>Income_Statement</vt:lpstr>
      <vt:lpstr>LU_Future_Years</vt:lpstr>
      <vt:lpstr>Macro_NavHeading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Multiplier</vt:lpstr>
      <vt:lpstr>No._of_days</vt:lpstr>
      <vt:lpstr>No_of_Days</vt:lpstr>
      <vt:lpstr>No_of_Years</vt:lpstr>
      <vt:lpstr>Overall_Error_Check</vt:lpstr>
      <vt:lpstr>Percentage</vt:lpstr>
      <vt:lpstr>Periodicity</vt:lpstr>
      <vt:lpstr>Price_Weight</vt:lpstr>
      <vt:lpstr>Quarters_in_Year</vt:lpstr>
      <vt:lpstr>Reporting_Month_Factor</vt:lpstr>
      <vt:lpstr>Rounding_Accuracy</vt:lpstr>
      <vt:lpstr>Thousand</vt:lpstr>
      <vt:lpstr>Unit</vt:lpstr>
      <vt:lpstr>Very_Large_Number</vt:lpstr>
      <vt:lpstr>Very_Small_Number</vt:lpstr>
      <vt:lpstr>Weight</vt:lpstr>
      <vt:lpstr>Year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Jacqueline Day</cp:lastModifiedBy>
  <cp:lastPrinted>2017-03-21T16:30:54Z</cp:lastPrinted>
  <dcterms:created xsi:type="dcterms:W3CDTF">2012-10-20T20:39:47Z</dcterms:created>
  <dcterms:modified xsi:type="dcterms:W3CDTF">2017-04-20T02:21:33Z</dcterms:modified>
</cp:coreProperties>
</file>